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599" firstSheet="1" activeTab="12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  <sheet name="всего" sheetId="13" r:id="rId13"/>
  </sheets>
  <definedNames/>
  <calcPr fullCalcOnLoad="1"/>
</workbook>
</file>

<file path=xl/sharedStrings.xml><?xml version="1.0" encoding="utf-8"?>
<sst xmlns="http://schemas.openxmlformats.org/spreadsheetml/2006/main" count="1080" uniqueCount="60">
  <si>
    <t>ВН</t>
  </si>
  <si>
    <t>СН1</t>
  </si>
  <si>
    <t>СН2</t>
  </si>
  <si>
    <t>НН</t>
  </si>
  <si>
    <t>ООО "ВКМ-Сталь"</t>
  </si>
  <si>
    <t>ООО "Энерголин"</t>
  </si>
  <si>
    <t>ОАО "Биохимик"</t>
  </si>
  <si>
    <t>Филиал ОАО "МРСК Волги"- Мордовэнерго</t>
  </si>
  <si>
    <t>ООО "Мордовская региональная теплоснабжающая компания"</t>
  </si>
  <si>
    <t>ОАО "Мордовская электротеплосетевая компания"</t>
  </si>
  <si>
    <t>Филиал "Горьковская железная дорога" Энергосбыт</t>
  </si>
  <si>
    <t>МП г.о. Саранск "Горсвет"</t>
  </si>
  <si>
    <t>Филиал ООО "Системы жизнеобеспечения" "Коммунальные ресурсы"</t>
  </si>
  <si>
    <t xml:space="preserve">Теплолюкс-М </t>
  </si>
  <si>
    <t>ВСЕГО услуга</t>
  </si>
  <si>
    <t>ООО "Электротеплосеть" Зубово Поляна</t>
  </si>
  <si>
    <t>2010 г.</t>
  </si>
  <si>
    <t>СЕНТЯБРЬ</t>
  </si>
  <si>
    <t>ОКТЯБРЬ</t>
  </si>
  <si>
    <t>НОЯБРЬ</t>
  </si>
  <si>
    <t>ДЕКАБРЬ</t>
  </si>
  <si>
    <t>АВГУСТ</t>
  </si>
  <si>
    <t>население всего</t>
  </si>
  <si>
    <t>город</t>
  </si>
  <si>
    <t>село</t>
  </si>
  <si>
    <t xml:space="preserve">Прочие 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</si>
  <si>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</si>
  <si>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</si>
  <si>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</si>
  <si>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</si>
  <si>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</si>
  <si>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</si>
  <si>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</si>
  <si>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 xml:space="preserve">  </t>
  </si>
  <si>
    <t>ОАО "Ремстроймаш"</t>
  </si>
  <si>
    <t>ООО "Бурводстрой"</t>
  </si>
  <si>
    <t>ГУП РМ "Лисма"</t>
  </si>
  <si>
    <t>ОАО "Саранский завод Автосамосвалов"</t>
  </si>
  <si>
    <t>ООО "Производственная фирма "Жилкоммунстрой"</t>
  </si>
  <si>
    <t>МП Лямбирского района РМ "Жилищно-коммунального хозяйства"</t>
  </si>
  <si>
    <t>28 Электросеть</t>
  </si>
  <si>
    <t>ОАО "Саранский завод "Резинотехника"</t>
  </si>
  <si>
    <t>ООО "МордовОпцент"</t>
  </si>
  <si>
    <t>ФКП "Саранский Механическийзавод"</t>
  </si>
  <si>
    <t>ОАО "Резинотехника"</t>
  </si>
  <si>
    <t>Фактический полезный отпуск электроэнергии и мощности по тарифным группам в разрезе ТСО ( территориальных сетевых организаций ) с выделением населения</t>
  </si>
  <si>
    <t>тыс.кВтч.</t>
  </si>
  <si>
    <t>за 2010 г.</t>
  </si>
  <si>
    <t>за ДЕКАБРЬ 2010 г.</t>
  </si>
  <si>
    <t>за НОЯБРЬ 2010 г.</t>
  </si>
  <si>
    <t>за ОКТЯБРЬ 2010 г.</t>
  </si>
  <si>
    <t>за СЕНТЯБРЬ 2010 г.</t>
  </si>
  <si>
    <t>за АВГУСТ 2010 г.</t>
  </si>
  <si>
    <t>за ИЮЛЬ 2010 г.</t>
  </si>
  <si>
    <t>за ИЮНЬ 2010 г.</t>
  </si>
  <si>
    <t>за МАЙ 2010 г.</t>
  </si>
  <si>
    <t>за АПРЕЛЬ 2010 г.</t>
  </si>
  <si>
    <t>за МАРТ 2010 г.</t>
  </si>
  <si>
    <t>за ФЕВРАЛЬ 2010 г.</t>
  </si>
  <si>
    <t>за ЯНВАРЬ 2010 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</si>
</sst>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#,##0.000000"/>
    <numFmt numFmtId="170" formatCode="0.000000"/>
    <numFmt numFmtId="171" formatCode="0.0%"/>
    <numFmt numFmtId="172" formatCode="0.000%"/>
    <numFmt numFmtId="173" formatCode="#,##0.0"/>
    <numFmt numFmtId="174" formatCode="#,##0.0000"/>
  </numFmts>
  <fonts count="16">
    <font>
      <sz val="10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0"/>
      <name val="Helv"/>
      <family val="0"/>
    </font>
    <font>
      <b/>
      <sz val="14"/>
      <name val="Arial"/>
      <family val="0"/>
    </font>
    <font>
      <b/>
      <sz val="14"/>
      <name val="Arial Cyr"/>
      <family val="0"/>
    </font>
    <font>
      <sz val="14"/>
      <name val="Arial"/>
      <family val="0"/>
    </font>
    <font>
      <sz val="14"/>
      <name val="Arial Cyr"/>
      <family val="0"/>
    </font>
    <font>
      <b/>
      <i/>
      <sz val="14"/>
      <name val="Arial Cyr"/>
      <family val="0"/>
    </font>
    <font>
      <sz val="14"/>
      <name val="Helv"/>
      <family val="0"/>
    </font>
    <font>
      <b/>
      <sz val="11"/>
      <name val="Arial Cyr"/>
      <family val="0"/>
    </font>
    <font>
      <b/>
      <sz val="18"/>
      <name val="Arial Cyr"/>
      <family val="0"/>
    </font>
    <font>
      <i/>
      <sz val="10"/>
      <name val="Arial Cyr"/>
      <family val="0"/>
    </font>
    <font>
      <b/>
      <sz val="10"/>
      <color indexed="10"/>
      <name val="Arial Cyr"/>
      <family val="0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0"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3" fontId="3" fillId="0" borderId="0" xfId="0" applyNumberFormat="1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3" fontId="0" fillId="0" borderId="0" xfId="0" applyNumberFormat="1" applyFill="1" applyAlignment="1">
      <alignment vertical="center"/>
    </xf>
    <xf numFmtId="0" fontId="0" fillId="0" borderId="0" xfId="0" applyFill="1" applyAlignment="1">
      <alignment/>
    </xf>
    <xf numFmtId="3" fontId="0" fillId="0" borderId="0" xfId="0" applyNumberFormat="1" applyFill="1" applyBorder="1" applyAlignment="1">
      <alignment vertical="center"/>
    </xf>
    <xf numFmtId="168" fontId="7" fillId="0" borderId="1" xfId="0" applyNumberFormat="1" applyFont="1" applyFill="1" applyBorder="1" applyAlignment="1">
      <alignment vertical="center"/>
    </xf>
    <xf numFmtId="3" fontId="9" fillId="0" borderId="0" xfId="0" applyNumberFormat="1" applyFont="1" applyFill="1" applyAlignment="1">
      <alignment vertical="center"/>
    </xf>
    <xf numFmtId="168" fontId="7" fillId="0" borderId="2" xfId="0" applyNumberFormat="1" applyFont="1" applyFill="1" applyBorder="1" applyAlignment="1">
      <alignment vertical="center"/>
    </xf>
    <xf numFmtId="168" fontId="7" fillId="0" borderId="3" xfId="0" applyNumberFormat="1" applyFont="1" applyFill="1" applyBorder="1" applyAlignment="1">
      <alignment vertical="center"/>
    </xf>
    <xf numFmtId="168" fontId="9" fillId="0" borderId="2" xfId="0" applyNumberFormat="1" applyFont="1" applyFill="1" applyBorder="1" applyAlignment="1">
      <alignment vertical="center"/>
    </xf>
    <xf numFmtId="168" fontId="8" fillId="0" borderId="2" xfId="0" applyNumberFormat="1" applyFont="1" applyFill="1" applyBorder="1" applyAlignment="1">
      <alignment vertical="center"/>
    </xf>
    <xf numFmtId="168" fontId="8" fillId="0" borderId="3" xfId="0" applyNumberFormat="1" applyFont="1" applyFill="1" applyBorder="1" applyAlignment="1">
      <alignment vertical="center"/>
    </xf>
    <xf numFmtId="168" fontId="7" fillId="0" borderId="4" xfId="0" applyNumberFormat="1" applyFont="1" applyFill="1" applyBorder="1" applyAlignment="1">
      <alignment vertical="center"/>
    </xf>
    <xf numFmtId="168" fontId="8" fillId="0" borderId="4" xfId="0" applyNumberFormat="1" applyFont="1" applyFill="1" applyBorder="1" applyAlignment="1">
      <alignment vertical="center"/>
    </xf>
    <xf numFmtId="168" fontId="6" fillId="0" borderId="2" xfId="0" applyNumberFormat="1" applyFont="1" applyFill="1" applyBorder="1" applyAlignment="1">
      <alignment vertical="center"/>
    </xf>
    <xf numFmtId="168" fontId="6" fillId="0" borderId="3" xfId="0" applyNumberFormat="1" applyFont="1" applyFill="1" applyBorder="1" applyAlignment="1">
      <alignment vertical="center"/>
    </xf>
    <xf numFmtId="168" fontId="9" fillId="0" borderId="3" xfId="0" applyNumberFormat="1" applyFont="1" applyFill="1" applyBorder="1" applyAlignment="1">
      <alignment vertical="center"/>
    </xf>
    <xf numFmtId="168" fontId="7" fillId="0" borderId="5" xfId="0" applyNumberFormat="1" applyFont="1" applyFill="1" applyBorder="1" applyAlignment="1">
      <alignment vertical="center"/>
    </xf>
    <xf numFmtId="0" fontId="10" fillId="0" borderId="6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168" fontId="6" fillId="0" borderId="2" xfId="0" applyNumberFormat="1" applyFont="1" applyFill="1" applyBorder="1" applyAlignment="1">
      <alignment vertical="center"/>
    </xf>
    <xf numFmtId="168" fontId="6" fillId="0" borderId="3" xfId="0" applyNumberFormat="1" applyFont="1" applyFill="1" applyBorder="1" applyAlignment="1">
      <alignment vertical="center"/>
    </xf>
    <xf numFmtId="168" fontId="6" fillId="0" borderId="4" xfId="0" applyNumberFormat="1" applyFont="1" applyFill="1" applyBorder="1" applyAlignment="1">
      <alignment vertical="center"/>
    </xf>
    <xf numFmtId="168" fontId="8" fillId="0" borderId="2" xfId="0" applyNumberFormat="1" applyFont="1" applyFill="1" applyBorder="1" applyAlignment="1">
      <alignment vertical="center"/>
    </xf>
    <xf numFmtId="168" fontId="8" fillId="0" borderId="3" xfId="0" applyNumberFormat="1" applyFont="1" applyFill="1" applyBorder="1" applyAlignment="1">
      <alignment vertical="center"/>
    </xf>
    <xf numFmtId="0" fontId="10" fillId="0" borderId="8" xfId="0" applyFont="1" applyFill="1" applyBorder="1" applyAlignment="1">
      <alignment horizontal="left" vertical="center" wrapText="1"/>
    </xf>
    <xf numFmtId="168" fontId="7" fillId="0" borderId="9" xfId="0" applyNumberFormat="1" applyFont="1" applyFill="1" applyBorder="1" applyAlignment="1">
      <alignment vertical="center"/>
    </xf>
    <xf numFmtId="168" fontId="6" fillId="0" borderId="9" xfId="0" applyNumberFormat="1" applyFont="1" applyFill="1" applyBorder="1" applyAlignment="1">
      <alignment vertical="center"/>
    </xf>
    <xf numFmtId="168" fontId="7" fillId="0" borderId="10" xfId="0" applyNumberFormat="1" applyFont="1" applyFill="1" applyBorder="1" applyAlignment="1">
      <alignment vertical="center"/>
    </xf>
    <xf numFmtId="168" fontId="9" fillId="0" borderId="0" xfId="0" applyNumberFormat="1" applyFont="1" applyFill="1" applyAlignment="1">
      <alignment vertical="center"/>
    </xf>
    <xf numFmtId="168" fontId="0" fillId="0" borderId="0" xfId="0" applyNumberFormat="1" applyAlignment="1">
      <alignment/>
    </xf>
    <xf numFmtId="168" fontId="7" fillId="0" borderId="11" xfId="0" applyNumberFormat="1" applyFont="1" applyFill="1" applyBorder="1" applyAlignment="1">
      <alignment vertical="center"/>
    </xf>
    <xf numFmtId="168" fontId="7" fillId="0" borderId="12" xfId="0" applyNumberFormat="1" applyFont="1" applyFill="1" applyBorder="1" applyAlignment="1">
      <alignment vertical="center"/>
    </xf>
    <xf numFmtId="0" fontId="10" fillId="0" borderId="13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168" fontId="8" fillId="0" borderId="0" xfId="0" applyNumberFormat="1" applyFont="1" applyFill="1" applyBorder="1" applyAlignment="1">
      <alignment vertical="center"/>
    </xf>
    <xf numFmtId="168" fontId="7" fillId="0" borderId="15" xfId="0" applyNumberFormat="1" applyFont="1" applyFill="1" applyBorder="1" applyAlignment="1">
      <alignment vertical="center"/>
    </xf>
    <xf numFmtId="3" fontId="7" fillId="0" borderId="16" xfId="0" applyNumberFormat="1" applyFont="1" applyFill="1" applyBorder="1" applyAlignment="1">
      <alignment vertical="center"/>
    </xf>
    <xf numFmtId="3" fontId="7" fillId="0" borderId="6" xfId="0" applyNumberFormat="1" applyFont="1" applyFill="1" applyBorder="1" applyAlignment="1">
      <alignment vertical="center"/>
    </xf>
    <xf numFmtId="168" fontId="7" fillId="0" borderId="17" xfId="0" applyNumberFormat="1" applyFont="1" applyFill="1" applyBorder="1" applyAlignment="1">
      <alignment vertical="center"/>
    </xf>
    <xf numFmtId="168" fontId="8" fillId="0" borderId="17" xfId="0" applyNumberFormat="1" applyFont="1" applyFill="1" applyBorder="1" applyAlignment="1">
      <alignment vertical="center"/>
    </xf>
    <xf numFmtId="168" fontId="7" fillId="0" borderId="18" xfId="0" applyNumberFormat="1" applyFont="1" applyFill="1" applyBorder="1" applyAlignment="1">
      <alignment vertical="center"/>
    </xf>
    <xf numFmtId="168" fontId="8" fillId="0" borderId="17" xfId="0" applyNumberFormat="1" applyFont="1" applyFill="1" applyBorder="1" applyAlignment="1">
      <alignment vertical="center"/>
    </xf>
    <xf numFmtId="168" fontId="8" fillId="0" borderId="18" xfId="0" applyNumberFormat="1" applyFont="1" applyFill="1" applyBorder="1" applyAlignment="1">
      <alignment vertical="center"/>
    </xf>
    <xf numFmtId="168" fontId="7" fillId="0" borderId="6" xfId="0" applyNumberFormat="1" applyFont="1" applyFill="1" applyBorder="1" applyAlignment="1">
      <alignment vertical="center"/>
    </xf>
    <xf numFmtId="168" fontId="8" fillId="0" borderId="2" xfId="0" applyNumberFormat="1" applyFont="1" applyFill="1" applyBorder="1" applyAlignment="1">
      <alignment vertical="center" wrapText="1"/>
    </xf>
    <xf numFmtId="168" fontId="8" fillId="0" borderId="3" xfId="0" applyNumberFormat="1" applyFont="1" applyFill="1" applyBorder="1" applyAlignment="1">
      <alignment vertical="center" wrapText="1"/>
    </xf>
    <xf numFmtId="3" fontId="7" fillId="0" borderId="6" xfId="0" applyNumberFormat="1" applyFont="1" applyFill="1" applyBorder="1" applyAlignment="1">
      <alignment vertical="center" wrapText="1"/>
    </xf>
    <xf numFmtId="168" fontId="7" fillId="0" borderId="19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/>
    </xf>
    <xf numFmtId="3" fontId="14" fillId="0" borderId="0" xfId="0" applyNumberFormat="1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0" fontId="13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5" fillId="0" borderId="0" xfId="0" applyAlignment="1">
      <alignment horizontal="center"/>
    </xf>
    <xf numFmtId="0" fontId="3" fillId="0" borderId="0" xfId="0" applyFont="1" applyFill="1" applyAlignment="1">
      <alignment/>
    </xf>
    <xf numFmtId="0" fontId="5" fillId="0" borderId="0" xfId="0" applyFill="1" applyAlignment="1">
      <alignment/>
    </xf>
    <xf numFmtId="0" fontId="7" fillId="0" borderId="0" xfId="0" applyFont="1" applyFill="1" applyAlignment="1">
      <alignment horizontal="right"/>
    </xf>
    <xf numFmtId="0" fontId="5" fillId="0" borderId="0" xfId="0" applyFill="1" applyAlignment="1">
      <alignment horizontal="center"/>
    </xf>
    <xf numFmtId="3" fontId="7" fillId="0" borderId="20" xfId="0" applyNumberFormat="1" applyFont="1" applyFill="1" applyBorder="1" applyAlignment="1">
      <alignment vertical="center"/>
    </xf>
    <xf numFmtId="3" fontId="7" fillId="0" borderId="21" xfId="0" applyNumberFormat="1" applyFont="1" applyFill="1" applyBorder="1" applyAlignment="1">
      <alignment horizontal="center" vertical="center"/>
    </xf>
    <xf numFmtId="3" fontId="7" fillId="0" borderId="22" xfId="0" applyNumberFormat="1" applyFont="1" applyFill="1" applyBorder="1" applyAlignment="1">
      <alignment horizontal="center" vertical="center"/>
    </xf>
    <xf numFmtId="3" fontId="7" fillId="0" borderId="23" xfId="0" applyNumberFormat="1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left" vertical="center" wrapText="1"/>
    </xf>
    <xf numFmtId="168" fontId="7" fillId="0" borderId="25" xfId="0" applyNumberFormat="1" applyFont="1" applyFill="1" applyBorder="1" applyAlignment="1">
      <alignment vertical="center"/>
    </xf>
    <xf numFmtId="168" fontId="6" fillId="0" borderId="17" xfId="0" applyNumberFormat="1" applyFont="1" applyFill="1" applyBorder="1" applyAlignment="1">
      <alignment vertical="center"/>
    </xf>
    <xf numFmtId="168" fontId="6" fillId="0" borderId="18" xfId="0" applyNumberFormat="1" applyFont="1" applyFill="1" applyBorder="1" applyAlignment="1">
      <alignment vertical="center"/>
    </xf>
    <xf numFmtId="0" fontId="7" fillId="0" borderId="13" xfId="0" applyFont="1" applyFill="1" applyBorder="1" applyAlignment="1">
      <alignment horizontal="left" vertical="center" wrapText="1"/>
    </xf>
    <xf numFmtId="3" fontId="7" fillId="0" borderId="13" xfId="0" applyNumberFormat="1" applyFont="1" applyFill="1" applyBorder="1" applyAlignment="1">
      <alignment vertical="center"/>
    </xf>
    <xf numFmtId="3" fontId="7" fillId="0" borderId="26" xfId="0" applyNumberFormat="1" applyFont="1" applyFill="1" applyBorder="1" applyAlignment="1">
      <alignment vertical="center"/>
    </xf>
    <xf numFmtId="168" fontId="7" fillId="0" borderId="27" xfId="0" applyNumberFormat="1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vertical="center"/>
    </xf>
    <xf numFmtId="3" fontId="11" fillId="0" borderId="0" xfId="0" applyNumberFormat="1" applyFont="1" applyFill="1" applyAlignment="1">
      <alignment vertical="center"/>
    </xf>
    <xf numFmtId="168" fontId="9" fillId="0" borderId="2" xfId="0" applyNumberFormat="1" applyFont="1" applyFill="1" applyBorder="1" applyAlignment="1">
      <alignment vertical="center" wrapText="1"/>
    </xf>
    <xf numFmtId="168" fontId="9" fillId="0" borderId="3" xfId="0" applyNumberFormat="1" applyFont="1" applyFill="1" applyBorder="1" applyAlignment="1">
      <alignment vertical="center" wrapText="1"/>
    </xf>
    <xf numFmtId="3" fontId="11" fillId="0" borderId="0" xfId="0" applyNumberFormat="1" applyFont="1" applyFill="1" applyBorder="1" applyAlignment="1">
      <alignment vertical="center" wrapText="1"/>
    </xf>
    <xf numFmtId="3" fontId="11" fillId="0" borderId="0" xfId="0" applyNumberFormat="1" applyFont="1" applyFill="1" applyAlignment="1">
      <alignment vertical="center" wrapText="1"/>
    </xf>
    <xf numFmtId="168" fontId="7" fillId="0" borderId="1" xfId="0" applyNumberFormat="1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center" wrapText="1"/>
    </xf>
    <xf numFmtId="0" fontId="9" fillId="0" borderId="0" xfId="0" applyFont="1" applyFill="1" applyAlignment="1">
      <alignment/>
    </xf>
    <xf numFmtId="0" fontId="7" fillId="0" borderId="7" xfId="0" applyFont="1" applyFill="1" applyBorder="1" applyAlignment="1">
      <alignment vertical="center" wrapText="1"/>
    </xf>
    <xf numFmtId="168" fontId="7" fillId="0" borderId="19" xfId="0" applyNumberFormat="1" applyFont="1" applyFill="1" applyBorder="1" applyAlignment="1">
      <alignment vertical="center" wrapText="1"/>
    </xf>
    <xf numFmtId="168" fontId="8" fillId="0" borderId="9" xfId="0" applyNumberFormat="1" applyFont="1" applyFill="1" applyBorder="1" applyAlignment="1">
      <alignment vertical="center" wrapText="1"/>
    </xf>
    <xf numFmtId="168" fontId="8" fillId="0" borderId="10" xfId="0" applyNumberFormat="1" applyFont="1" applyFill="1" applyBorder="1" applyAlignment="1">
      <alignment vertical="center" wrapText="1"/>
    </xf>
    <xf numFmtId="3" fontId="7" fillId="0" borderId="28" xfId="0" applyNumberFormat="1" applyFont="1" applyFill="1" applyBorder="1" applyAlignment="1">
      <alignment vertical="center"/>
    </xf>
    <xf numFmtId="168" fontId="7" fillId="0" borderId="29" xfId="0" applyNumberFormat="1" applyFont="1" applyFill="1" applyBorder="1" applyAlignment="1">
      <alignment vertical="center"/>
    </xf>
    <xf numFmtId="168" fontId="7" fillId="0" borderId="30" xfId="0" applyNumberFormat="1" applyFont="1" applyFill="1" applyBorder="1" applyAlignment="1">
      <alignment vertical="center"/>
    </xf>
    <xf numFmtId="0" fontId="7" fillId="0" borderId="26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168" fontId="7" fillId="0" borderId="31" xfId="0" applyNumberFormat="1" applyFont="1" applyFill="1" applyBorder="1" applyAlignment="1">
      <alignment vertical="center"/>
    </xf>
    <xf numFmtId="168" fontId="7" fillId="0" borderId="32" xfId="0" applyNumberFormat="1" applyFont="1" applyFill="1" applyBorder="1" applyAlignment="1">
      <alignment vertical="center"/>
    </xf>
    <xf numFmtId="3" fontId="7" fillId="0" borderId="26" xfId="0" applyNumberFormat="1" applyFont="1" applyFill="1" applyBorder="1" applyAlignment="1">
      <alignment vertical="center" wrapText="1"/>
    </xf>
    <xf numFmtId="168" fontId="7" fillId="0" borderId="27" xfId="0" applyNumberFormat="1" applyFont="1" applyFill="1" applyBorder="1" applyAlignment="1">
      <alignment vertical="center" wrapText="1"/>
    </xf>
    <xf numFmtId="168" fontId="8" fillId="0" borderId="17" xfId="0" applyNumberFormat="1" applyFont="1" applyFill="1" applyBorder="1" applyAlignment="1">
      <alignment vertical="center" wrapText="1"/>
    </xf>
    <xf numFmtId="168" fontId="8" fillId="0" borderId="18" xfId="0" applyNumberFormat="1" applyFont="1" applyFill="1" applyBorder="1" applyAlignment="1">
      <alignment vertical="center" wrapText="1"/>
    </xf>
    <xf numFmtId="0" fontId="9" fillId="0" borderId="0" xfId="0" applyFont="1" applyFill="1" applyAlignment="1">
      <alignment vertical="center" wrapText="1"/>
    </xf>
    <xf numFmtId="168" fontId="7" fillId="0" borderId="33" xfId="0" applyNumberFormat="1" applyFont="1" applyFill="1" applyBorder="1" applyAlignment="1">
      <alignment vertical="center" wrapText="1"/>
    </xf>
    <xf numFmtId="168" fontId="8" fillId="0" borderId="4" xfId="0" applyNumberFormat="1" applyFont="1" applyFill="1" applyBorder="1" applyAlignment="1">
      <alignment vertical="center" wrapText="1"/>
    </xf>
    <xf numFmtId="168" fontId="8" fillId="0" borderId="5" xfId="0" applyNumberFormat="1" applyFont="1" applyFill="1" applyBorder="1" applyAlignment="1">
      <alignment vertical="center" wrapText="1"/>
    </xf>
    <xf numFmtId="0" fontId="1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8" xfId="0" applyFont="1" applyFill="1" applyBorder="1" applyAlignment="1">
      <alignment vertical="center" wrapText="1"/>
    </xf>
    <xf numFmtId="0" fontId="7" fillId="0" borderId="34" xfId="0" applyFont="1" applyFill="1" applyBorder="1" applyAlignment="1">
      <alignment horizontal="left" vertical="center" wrapText="1"/>
    </xf>
    <xf numFmtId="3" fontId="7" fillId="0" borderId="35" xfId="0" applyNumberFormat="1" applyFont="1" applyFill="1" applyBorder="1" applyAlignment="1">
      <alignment vertical="center"/>
    </xf>
    <xf numFmtId="0" fontId="7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3" fontId="7" fillId="0" borderId="2" xfId="0" applyNumberFormat="1" applyFont="1" applyFill="1" applyBorder="1" applyAlignment="1">
      <alignment vertical="center"/>
    </xf>
    <xf numFmtId="168" fontId="7" fillId="0" borderId="6" xfId="0" applyNumberFormat="1" applyFont="1" applyFill="1" applyBorder="1" applyAlignment="1">
      <alignment vertical="center" wrapText="1"/>
    </xf>
    <xf numFmtId="168" fontId="7" fillId="0" borderId="35" xfId="0" applyNumberFormat="1" applyFont="1" applyFill="1" applyBorder="1" applyAlignment="1">
      <alignment vertical="center"/>
    </xf>
    <xf numFmtId="168" fontId="7" fillId="0" borderId="11" xfId="0" applyNumberFormat="1" applyFont="1" applyFill="1" applyBorder="1" applyAlignment="1">
      <alignment vertical="center" wrapText="1"/>
    </xf>
    <xf numFmtId="168" fontId="7" fillId="0" borderId="15" xfId="0" applyNumberFormat="1" applyFont="1" applyFill="1" applyBorder="1" applyAlignment="1">
      <alignment vertical="center" wrapText="1"/>
    </xf>
    <xf numFmtId="3" fontId="7" fillId="0" borderId="2" xfId="0" applyNumberFormat="1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3" fontId="7" fillId="0" borderId="13" xfId="0" applyNumberFormat="1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9"/>
  <sheetViews>
    <sheetView zoomScale="60" zoomScaleNormal="60" workbookViewId="0" topLeftCell="A1">
      <pane xSplit="1" ySplit="4" topLeftCell="B7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80" sqref="E80"/>
    </sheetView>
  </sheetViews>
  <sheetFormatPr defaultColWidth="9.00390625" defaultRowHeight="12.75"/>
  <cols>
    <col min="1" max="1" width="51.00390625" style="0" customWidth="1"/>
    <col min="2" max="6" width="25.25390625" style="0" customWidth="1"/>
  </cols>
  <sheetData>
    <row r="1" spans="1:6" s="54" customFormat="1" ht="47.25" customHeight="1">
      <c r="A1" s="53" t="s">
        <v>45</v>
      </c>
      <c r="B1" s="53"/>
      <c r="C1" s="53"/>
      <c r="D1" s="53"/>
      <c r="E1" s="53"/>
      <c r="F1" s="53"/>
    </row>
    <row r="2" spans="1:6" s="57" customFormat="1" ht="23.25">
      <c r="A2" s="55" t="s">
        <v>59</v>
      </c>
      <c r="B2" s="55"/>
      <c r="C2" s="55"/>
      <c r="D2" s="60"/>
      <c r="E2" s="60"/>
      <c r="F2" s="60"/>
    </row>
    <row r="3" s="58" customFormat="1" ht="18.75" thickBot="1">
      <c r="F3" s="59" t="s">
        <v>46</v>
      </c>
    </row>
    <row r="4" spans="1:6" s="2" customFormat="1" ht="29.25" customHeight="1" thickBot="1">
      <c r="A4" s="61" t="s">
        <v>26</v>
      </c>
      <c r="B4" s="62"/>
      <c r="C4" s="63" t="s">
        <v>0</v>
      </c>
      <c r="D4" s="63" t="s">
        <v>1</v>
      </c>
      <c r="E4" s="63" t="s">
        <v>2</v>
      </c>
      <c r="F4" s="64" t="s">
        <v>3</v>
      </c>
    </row>
    <row r="5" spans="1:6" s="3" customFormat="1" ht="57" customHeight="1">
      <c r="A5" s="65" t="s">
        <v>7</v>
      </c>
      <c r="B5" s="66">
        <f aca="true" t="shared" si="0" ref="B5:B46">C5+D5+E5+F5</f>
        <v>91471.98500000002</v>
      </c>
      <c r="C5" s="67">
        <f>C6+C7</f>
        <v>37673.616</v>
      </c>
      <c r="D5" s="67">
        <f>D6+D7</f>
        <v>1205.849</v>
      </c>
      <c r="E5" s="67">
        <f>E6+E7</f>
        <v>23453.291</v>
      </c>
      <c r="F5" s="68">
        <f>F6+F7</f>
        <v>29139.229</v>
      </c>
    </row>
    <row r="6" spans="1:6" s="3" customFormat="1" ht="27" customHeight="1">
      <c r="A6" s="34" t="s">
        <v>25</v>
      </c>
      <c r="B6" s="32">
        <f t="shared" si="0"/>
        <v>75466.482</v>
      </c>
      <c r="C6" s="8">
        <f>37673.616-C7</f>
        <v>37415.864</v>
      </c>
      <c r="D6" s="8">
        <f>1205.849-D7</f>
        <v>1203.7659999999998</v>
      </c>
      <c r="E6" s="8">
        <f>23453.291-E7</f>
        <v>22798.115</v>
      </c>
      <c r="F6" s="9">
        <f>29139.229-F7</f>
        <v>14048.736999999997</v>
      </c>
    </row>
    <row r="7" spans="1:6" s="3" customFormat="1" ht="20.25" customHeight="1">
      <c r="A7" s="34" t="s">
        <v>22</v>
      </c>
      <c r="B7" s="32">
        <f t="shared" si="0"/>
        <v>16005.503000000002</v>
      </c>
      <c r="C7" s="8">
        <f>C8+C9</f>
        <v>257.752</v>
      </c>
      <c r="D7" s="15">
        <f>D8+D9</f>
        <v>2.083</v>
      </c>
      <c r="E7" s="15">
        <f>E8+E9</f>
        <v>655.176</v>
      </c>
      <c r="F7" s="16">
        <f>F8+F9</f>
        <v>15090.492000000002</v>
      </c>
    </row>
    <row r="8" spans="1:6" s="3" customFormat="1" ht="21.75" customHeight="1">
      <c r="A8" s="34" t="s">
        <v>23</v>
      </c>
      <c r="B8" s="32">
        <f t="shared" si="0"/>
        <v>4640.696</v>
      </c>
      <c r="C8" s="11">
        <v>66</v>
      </c>
      <c r="D8" s="11"/>
      <c r="E8" s="11">
        <v>97.397</v>
      </c>
      <c r="F8" s="12">
        <f>4463.966+13.333</f>
        <v>4477.299</v>
      </c>
    </row>
    <row r="9" spans="1:6" s="3" customFormat="1" ht="24.75" customHeight="1">
      <c r="A9" s="34" t="s">
        <v>24</v>
      </c>
      <c r="B9" s="32">
        <f t="shared" si="0"/>
        <v>11364.807000000003</v>
      </c>
      <c r="C9" s="11">
        <v>191.752</v>
      </c>
      <c r="D9" s="11">
        <v>2.083</v>
      </c>
      <c r="E9" s="11">
        <v>557.779</v>
      </c>
      <c r="F9" s="12">
        <f>17094.86-C7-D7-E7-F8-1089.357</f>
        <v>10613.193000000003</v>
      </c>
    </row>
    <row r="10" spans="1:6" s="3" customFormat="1" ht="47.25" customHeight="1">
      <c r="A10" s="69" t="s">
        <v>15</v>
      </c>
      <c r="B10" s="32">
        <f t="shared" si="0"/>
        <v>7299.433</v>
      </c>
      <c r="C10" s="15">
        <f>C11+C12</f>
        <v>1065.69</v>
      </c>
      <c r="D10" s="15"/>
      <c r="E10" s="15">
        <f>E11+E12</f>
        <v>2759.697</v>
      </c>
      <c r="F10" s="16">
        <f>F11+F12</f>
        <v>3474.046</v>
      </c>
    </row>
    <row r="11" spans="1:6" s="3" customFormat="1" ht="21.75" customHeight="1">
      <c r="A11" s="34" t="s">
        <v>25</v>
      </c>
      <c r="B11" s="32">
        <f t="shared" si="0"/>
        <v>5012.914</v>
      </c>
      <c r="C11" s="8">
        <f>1065.69-C12</f>
        <v>1019.7360000000001</v>
      </c>
      <c r="D11" s="8"/>
      <c r="E11" s="8">
        <f>2759.697-E12</f>
        <v>2252.8320000000003</v>
      </c>
      <c r="F11" s="9">
        <f>3474.046-F12</f>
        <v>1740.3459999999998</v>
      </c>
    </row>
    <row r="12" spans="1:6" s="3" customFormat="1" ht="19.5" customHeight="1">
      <c r="A12" s="34" t="s">
        <v>22</v>
      </c>
      <c r="B12" s="32">
        <f t="shared" si="0"/>
        <v>2286.5190000000002</v>
      </c>
      <c r="C12" s="15">
        <f>C13+C14</f>
        <v>45.954</v>
      </c>
      <c r="D12" s="8"/>
      <c r="E12" s="15">
        <f>E13+E14</f>
        <v>506.865</v>
      </c>
      <c r="F12" s="16">
        <f>F13+F14</f>
        <v>1733.7</v>
      </c>
    </row>
    <row r="13" spans="1:6" s="3" customFormat="1" ht="17.25" customHeight="1">
      <c r="A13" s="34" t="s">
        <v>23</v>
      </c>
      <c r="B13" s="32">
        <f t="shared" si="0"/>
        <v>1256.7150000000001</v>
      </c>
      <c r="C13" s="11"/>
      <c r="D13" s="11"/>
      <c r="E13" s="11">
        <v>46.429</v>
      </c>
      <c r="F13" s="12">
        <v>1210.286</v>
      </c>
    </row>
    <row r="14" spans="1:6" s="3" customFormat="1" ht="17.25" customHeight="1">
      <c r="A14" s="34" t="s">
        <v>24</v>
      </c>
      <c r="B14" s="32">
        <f t="shared" si="0"/>
        <v>1029.804</v>
      </c>
      <c r="C14" s="11">
        <v>45.954</v>
      </c>
      <c r="D14" s="11"/>
      <c r="E14" s="11">
        <v>460.436</v>
      </c>
      <c r="F14" s="12">
        <v>523.414</v>
      </c>
    </row>
    <row r="15" spans="1:6" s="3" customFormat="1" ht="35.25" customHeight="1">
      <c r="A15" s="69" t="s">
        <v>6</v>
      </c>
      <c r="B15" s="32">
        <f t="shared" si="0"/>
        <v>1562.808</v>
      </c>
      <c r="C15" s="15">
        <f>C16+C17</f>
        <v>1562.808</v>
      </c>
      <c r="D15" s="8"/>
      <c r="E15" s="8"/>
      <c r="F15" s="9"/>
    </row>
    <row r="16" spans="1:6" s="3" customFormat="1" ht="19.5" customHeight="1">
      <c r="A16" s="34" t="s">
        <v>25</v>
      </c>
      <c r="B16" s="32">
        <f t="shared" si="0"/>
        <v>1562.808</v>
      </c>
      <c r="C16" s="8">
        <v>1562.808</v>
      </c>
      <c r="D16" s="8"/>
      <c r="E16" s="15"/>
      <c r="F16" s="16"/>
    </row>
    <row r="17" spans="1:6" s="3" customFormat="1" ht="18" customHeight="1">
      <c r="A17" s="34" t="s">
        <v>22</v>
      </c>
      <c r="B17" s="32">
        <f t="shared" si="0"/>
        <v>0</v>
      </c>
      <c r="C17" s="8"/>
      <c r="D17" s="8"/>
      <c r="E17" s="15">
        <f>E18+E19</f>
        <v>0</v>
      </c>
      <c r="F17" s="16">
        <f>F18+F19</f>
        <v>0</v>
      </c>
    </row>
    <row r="18" spans="1:6" s="3" customFormat="1" ht="19.5" customHeight="1">
      <c r="A18" s="34" t="s">
        <v>23</v>
      </c>
      <c r="B18" s="32">
        <f t="shared" si="0"/>
        <v>0</v>
      </c>
      <c r="C18" s="11"/>
      <c r="D18" s="11"/>
      <c r="E18" s="11"/>
      <c r="F18" s="12"/>
    </row>
    <row r="19" spans="1:6" s="3" customFormat="1" ht="19.5" customHeight="1">
      <c r="A19" s="34" t="s">
        <v>24</v>
      </c>
      <c r="B19" s="32">
        <f t="shared" si="0"/>
        <v>0</v>
      </c>
      <c r="C19" s="11"/>
      <c r="D19" s="11"/>
      <c r="E19" s="11"/>
      <c r="F19" s="12"/>
    </row>
    <row r="20" spans="1:6" s="3" customFormat="1" ht="42.75" customHeight="1">
      <c r="A20" s="69" t="s">
        <v>8</v>
      </c>
      <c r="B20" s="32">
        <f t="shared" si="0"/>
        <v>1246.9380000000003</v>
      </c>
      <c r="C20" s="15">
        <f>C21+C22</f>
        <v>10.064</v>
      </c>
      <c r="D20" s="15">
        <f>D21+D22</f>
        <v>1128.708</v>
      </c>
      <c r="E20" s="15">
        <f>E21+E22</f>
        <v>15.68</v>
      </c>
      <c r="F20" s="16">
        <f>F21+F22</f>
        <v>92.486</v>
      </c>
    </row>
    <row r="21" spans="1:6" s="3" customFormat="1" ht="21.75" customHeight="1">
      <c r="A21" s="34" t="s">
        <v>25</v>
      </c>
      <c r="B21" s="32">
        <f t="shared" si="0"/>
        <v>1221.3780000000002</v>
      </c>
      <c r="C21" s="8">
        <v>10.064</v>
      </c>
      <c r="D21" s="8">
        <v>1128.708</v>
      </c>
      <c r="E21" s="8">
        <v>15.68</v>
      </c>
      <c r="F21" s="9">
        <f>92.486-F22</f>
        <v>66.926</v>
      </c>
    </row>
    <row r="22" spans="1:6" s="3" customFormat="1" ht="21" customHeight="1">
      <c r="A22" s="34" t="s">
        <v>22</v>
      </c>
      <c r="B22" s="32">
        <f t="shared" si="0"/>
        <v>25.56</v>
      </c>
      <c r="C22" s="8"/>
      <c r="D22" s="8"/>
      <c r="E22" s="15">
        <f>E23+E24</f>
        <v>0</v>
      </c>
      <c r="F22" s="16">
        <f>F23+F24</f>
        <v>25.56</v>
      </c>
    </row>
    <row r="23" spans="1:6" s="3" customFormat="1" ht="21.75" customHeight="1">
      <c r="A23" s="34" t="s">
        <v>23</v>
      </c>
      <c r="B23" s="32">
        <f t="shared" si="0"/>
        <v>25.56</v>
      </c>
      <c r="C23" s="11"/>
      <c r="D23" s="11"/>
      <c r="E23" s="11"/>
      <c r="F23" s="12">
        <v>25.56</v>
      </c>
    </row>
    <row r="24" spans="1:6" s="3" customFormat="1" ht="21" customHeight="1">
      <c r="A24" s="34" t="s">
        <v>24</v>
      </c>
      <c r="B24" s="32">
        <f t="shared" si="0"/>
        <v>0</v>
      </c>
      <c r="C24" s="11"/>
      <c r="D24" s="11"/>
      <c r="E24" s="11"/>
      <c r="F24" s="12"/>
    </row>
    <row r="25" spans="1:6" s="3" customFormat="1" ht="39" customHeight="1">
      <c r="A25" s="69" t="s">
        <v>9</v>
      </c>
      <c r="B25" s="32">
        <f t="shared" si="0"/>
        <v>11082.865</v>
      </c>
      <c r="C25" s="15">
        <f>C26+C27</f>
        <v>4563.365</v>
      </c>
      <c r="D25" s="15"/>
      <c r="E25" s="15">
        <f>E26+E27</f>
        <v>1682.266</v>
      </c>
      <c r="F25" s="16">
        <f>F26+F27</f>
        <v>4837.234</v>
      </c>
    </row>
    <row r="26" spans="1:6" s="3" customFormat="1" ht="19.5" customHeight="1">
      <c r="A26" s="34" t="s">
        <v>25</v>
      </c>
      <c r="B26" s="32">
        <f t="shared" si="0"/>
        <v>8360.086</v>
      </c>
      <c r="C26" s="8">
        <v>4563.365</v>
      </c>
      <c r="D26" s="8"/>
      <c r="E26" s="15">
        <v>1682.266</v>
      </c>
      <c r="F26" s="16">
        <f>4837.234-F27</f>
        <v>2114.4550000000004</v>
      </c>
    </row>
    <row r="27" spans="1:6" s="3" customFormat="1" ht="20.25" customHeight="1">
      <c r="A27" s="34" t="s">
        <v>22</v>
      </c>
      <c r="B27" s="32">
        <f t="shared" si="0"/>
        <v>2722.779</v>
      </c>
      <c r="C27" s="8"/>
      <c r="D27" s="8"/>
      <c r="E27" s="15">
        <f>E28+E29</f>
        <v>0</v>
      </c>
      <c r="F27" s="16">
        <f>F28+F29</f>
        <v>2722.779</v>
      </c>
    </row>
    <row r="28" spans="1:6" s="3" customFormat="1" ht="20.25" customHeight="1">
      <c r="A28" s="34" t="s">
        <v>23</v>
      </c>
      <c r="B28" s="32">
        <f t="shared" si="0"/>
        <v>2695.779</v>
      </c>
      <c r="C28" s="11"/>
      <c r="D28" s="11"/>
      <c r="E28" s="11"/>
      <c r="F28" s="12">
        <f>2722.779-F29</f>
        <v>2695.779</v>
      </c>
    </row>
    <row r="29" spans="1:6" s="3" customFormat="1" ht="20.25" customHeight="1">
      <c r="A29" s="34" t="s">
        <v>24</v>
      </c>
      <c r="B29" s="32">
        <f t="shared" si="0"/>
        <v>27</v>
      </c>
      <c r="C29" s="11"/>
      <c r="D29" s="11"/>
      <c r="E29" s="11"/>
      <c r="F29" s="12">
        <v>27</v>
      </c>
    </row>
    <row r="30" spans="1:6" s="3" customFormat="1" ht="39.75" customHeight="1">
      <c r="A30" s="69" t="s">
        <v>10</v>
      </c>
      <c r="B30" s="32">
        <f t="shared" si="0"/>
        <v>96.441</v>
      </c>
      <c r="C30" s="15"/>
      <c r="D30" s="15"/>
      <c r="E30" s="15">
        <f>E31+E32</f>
        <v>66.902</v>
      </c>
      <c r="F30" s="16">
        <f>F31+F32</f>
        <v>29.539</v>
      </c>
    </row>
    <row r="31" spans="1:6" s="3" customFormat="1" ht="22.5" customHeight="1">
      <c r="A31" s="34" t="s">
        <v>25</v>
      </c>
      <c r="B31" s="32">
        <f t="shared" si="0"/>
        <v>77.236</v>
      </c>
      <c r="C31" s="8"/>
      <c r="D31" s="8"/>
      <c r="E31" s="15">
        <v>66.902</v>
      </c>
      <c r="F31" s="16">
        <f>29.539-F32</f>
        <v>10.334</v>
      </c>
    </row>
    <row r="32" spans="1:6" s="3" customFormat="1" ht="24.75" customHeight="1">
      <c r="A32" s="34" t="s">
        <v>22</v>
      </c>
      <c r="B32" s="32">
        <f t="shared" si="0"/>
        <v>19.205000000000002</v>
      </c>
      <c r="C32" s="8"/>
      <c r="D32" s="8"/>
      <c r="E32" s="15">
        <f>E33+E34</f>
        <v>0</v>
      </c>
      <c r="F32" s="16">
        <f>F33+F34</f>
        <v>19.205000000000002</v>
      </c>
    </row>
    <row r="33" spans="1:6" s="3" customFormat="1" ht="18" customHeight="1">
      <c r="A33" s="34" t="s">
        <v>23</v>
      </c>
      <c r="B33" s="32">
        <f t="shared" si="0"/>
        <v>11.742</v>
      </c>
      <c r="C33" s="11"/>
      <c r="D33" s="11"/>
      <c r="E33" s="11"/>
      <c r="F33" s="12">
        <v>11.742</v>
      </c>
    </row>
    <row r="34" spans="1:6" s="3" customFormat="1" ht="18" customHeight="1">
      <c r="A34" s="34" t="s">
        <v>24</v>
      </c>
      <c r="B34" s="32">
        <f t="shared" si="0"/>
        <v>7.463</v>
      </c>
      <c r="C34" s="11"/>
      <c r="D34" s="11"/>
      <c r="E34" s="11"/>
      <c r="F34" s="12">
        <v>7.463</v>
      </c>
    </row>
    <row r="35" spans="1:6" s="3" customFormat="1" ht="25.5" customHeight="1">
      <c r="A35" s="69" t="s">
        <v>40</v>
      </c>
      <c r="B35" s="32">
        <f t="shared" si="0"/>
        <v>0</v>
      </c>
      <c r="C35" s="21"/>
      <c r="D35" s="21"/>
      <c r="E35" s="15">
        <f>E36+E37</f>
        <v>0</v>
      </c>
      <c r="F35" s="16">
        <f>F36+F37</f>
        <v>0</v>
      </c>
    </row>
    <row r="36" spans="1:6" s="3" customFormat="1" ht="23.25" customHeight="1">
      <c r="A36" s="34" t="s">
        <v>25</v>
      </c>
      <c r="B36" s="32">
        <f t="shared" si="0"/>
        <v>0</v>
      </c>
      <c r="C36" s="8"/>
      <c r="D36" s="8"/>
      <c r="E36" s="8"/>
      <c r="F36" s="9"/>
    </row>
    <row r="37" spans="1:6" s="3" customFormat="1" ht="23.25" customHeight="1">
      <c r="A37" s="34" t="s">
        <v>22</v>
      </c>
      <c r="B37" s="32">
        <f t="shared" si="0"/>
        <v>0</v>
      </c>
      <c r="C37" s="8"/>
      <c r="D37" s="8"/>
      <c r="E37" s="15">
        <f>E38+E39</f>
        <v>0</v>
      </c>
      <c r="F37" s="16">
        <f>F38+F39</f>
        <v>0</v>
      </c>
    </row>
    <row r="38" spans="1:6" s="3" customFormat="1" ht="23.25" customHeight="1">
      <c r="A38" s="34" t="s">
        <v>23</v>
      </c>
      <c r="B38" s="32">
        <f t="shared" si="0"/>
        <v>0</v>
      </c>
      <c r="C38" s="21"/>
      <c r="D38" s="21"/>
      <c r="E38" s="21"/>
      <c r="F38" s="25"/>
    </row>
    <row r="39" spans="1:6" s="3" customFormat="1" ht="23.25" customHeight="1">
      <c r="A39" s="34" t="s">
        <v>24</v>
      </c>
      <c r="B39" s="32">
        <f t="shared" si="0"/>
        <v>0</v>
      </c>
      <c r="C39" s="21"/>
      <c r="D39" s="21"/>
      <c r="E39" s="21"/>
      <c r="F39" s="25"/>
    </row>
    <row r="40" spans="1:6" s="3" customFormat="1" ht="42" customHeight="1">
      <c r="A40" s="69" t="s">
        <v>41</v>
      </c>
      <c r="B40" s="32">
        <f t="shared" si="0"/>
        <v>0</v>
      </c>
      <c r="C40" s="21"/>
      <c r="D40" s="21"/>
      <c r="E40" s="15">
        <f>E41+E42</f>
        <v>0</v>
      </c>
      <c r="F40" s="16">
        <f>F41+F42</f>
        <v>0</v>
      </c>
    </row>
    <row r="41" spans="1:6" s="3" customFormat="1" ht="19.5" customHeight="1">
      <c r="A41" s="34" t="s">
        <v>25</v>
      </c>
      <c r="B41" s="32">
        <f t="shared" si="0"/>
        <v>0</v>
      </c>
      <c r="C41" s="8"/>
      <c r="D41" s="8"/>
      <c r="E41" s="8"/>
      <c r="F41" s="9"/>
    </row>
    <row r="42" spans="1:6" s="3" customFormat="1" ht="19.5" customHeight="1">
      <c r="A42" s="34" t="s">
        <v>22</v>
      </c>
      <c r="B42" s="32">
        <f t="shared" si="0"/>
        <v>0</v>
      </c>
      <c r="C42" s="8"/>
      <c r="D42" s="8"/>
      <c r="E42" s="15">
        <f>E43+E44</f>
        <v>0</v>
      </c>
      <c r="F42" s="16">
        <f>F43+F44</f>
        <v>0</v>
      </c>
    </row>
    <row r="43" spans="1:6" s="3" customFormat="1" ht="19.5" customHeight="1">
      <c r="A43" s="34" t="s">
        <v>23</v>
      </c>
      <c r="B43" s="32">
        <f t="shared" si="0"/>
        <v>0</v>
      </c>
      <c r="C43" s="21"/>
      <c r="D43" s="21"/>
      <c r="E43" s="21"/>
      <c r="F43" s="25"/>
    </row>
    <row r="44" spans="1:6" s="3" customFormat="1" ht="19.5" customHeight="1">
      <c r="A44" s="34" t="s">
        <v>24</v>
      </c>
      <c r="B44" s="32">
        <f t="shared" si="0"/>
        <v>0</v>
      </c>
      <c r="C44" s="21"/>
      <c r="D44" s="21"/>
      <c r="E44" s="21"/>
      <c r="F44" s="25"/>
    </row>
    <row r="45" spans="1:6" s="3" customFormat="1" ht="24.75" customHeight="1">
      <c r="A45" s="69" t="s">
        <v>11</v>
      </c>
      <c r="B45" s="32">
        <f t="shared" si="0"/>
        <v>3084.06</v>
      </c>
      <c r="C45" s="15">
        <f>C46+C47</f>
        <v>0</v>
      </c>
      <c r="D45" s="8"/>
      <c r="E45" s="15">
        <f>E46+E47</f>
        <v>2417.333</v>
      </c>
      <c r="F45" s="16">
        <f>F46+F47</f>
        <v>666.727</v>
      </c>
    </row>
    <row r="46" spans="1:6" s="3" customFormat="1" ht="24.75" customHeight="1">
      <c r="A46" s="34" t="s">
        <v>25</v>
      </c>
      <c r="B46" s="32">
        <f t="shared" si="0"/>
        <v>2622.565</v>
      </c>
      <c r="C46" s="8"/>
      <c r="D46" s="8"/>
      <c r="E46" s="15">
        <f>2417.333-E47</f>
        <v>2411.397</v>
      </c>
      <c r="F46" s="16">
        <f>666.727-F47</f>
        <v>211.168</v>
      </c>
    </row>
    <row r="47" spans="1:6" s="3" customFormat="1" ht="24.75" customHeight="1">
      <c r="A47" s="34" t="s">
        <v>22</v>
      </c>
      <c r="B47" s="32">
        <f aca="true" t="shared" si="1" ref="B47:B69">C47+D47+E47+F47</f>
        <v>461.49499999999995</v>
      </c>
      <c r="C47" s="8"/>
      <c r="D47" s="8"/>
      <c r="E47" s="15">
        <f>E48+E49</f>
        <v>5.936</v>
      </c>
      <c r="F47" s="16">
        <f>F48+F49</f>
        <v>455.55899999999997</v>
      </c>
    </row>
    <row r="48" spans="1:6" s="3" customFormat="1" ht="24.75" customHeight="1">
      <c r="A48" s="34" t="s">
        <v>23</v>
      </c>
      <c r="B48" s="32">
        <f t="shared" si="1"/>
        <v>364.147</v>
      </c>
      <c r="C48" s="8"/>
      <c r="D48" s="8"/>
      <c r="E48" s="11">
        <v>3.18</v>
      </c>
      <c r="F48" s="12">
        <v>360.967</v>
      </c>
    </row>
    <row r="49" spans="1:6" s="3" customFormat="1" ht="24.75" customHeight="1">
      <c r="A49" s="34" t="s">
        <v>24</v>
      </c>
      <c r="B49" s="32">
        <f t="shared" si="1"/>
        <v>97.348</v>
      </c>
      <c r="C49" s="8"/>
      <c r="D49" s="8"/>
      <c r="E49" s="11">
        <v>2.756</v>
      </c>
      <c r="F49" s="12">
        <v>94.592</v>
      </c>
    </row>
    <row r="50" spans="1:6" s="3" customFormat="1" ht="24.75" customHeight="1">
      <c r="A50" s="69" t="s">
        <v>5</v>
      </c>
      <c r="B50" s="32">
        <f t="shared" si="1"/>
        <v>2597.373</v>
      </c>
      <c r="C50" s="15">
        <f>C51+C52</f>
        <v>363.744</v>
      </c>
      <c r="D50" s="8"/>
      <c r="E50" s="15">
        <f>E51+E52</f>
        <v>1108.062</v>
      </c>
      <c r="F50" s="16">
        <f>F51+F52</f>
        <v>1125.567</v>
      </c>
    </row>
    <row r="51" spans="1:6" s="3" customFormat="1" ht="24.75" customHeight="1">
      <c r="A51" s="34" t="s">
        <v>25</v>
      </c>
      <c r="B51" s="32">
        <f t="shared" si="1"/>
        <v>1509.8159999999998</v>
      </c>
      <c r="C51" s="15">
        <v>363.744</v>
      </c>
      <c r="D51" s="8"/>
      <c r="E51" s="15">
        <f>1108.062-E52</f>
        <v>568.0989999999999</v>
      </c>
      <c r="F51" s="16">
        <f>1125.567-F52</f>
        <v>577.973</v>
      </c>
    </row>
    <row r="52" spans="1:6" s="3" customFormat="1" ht="24.75" customHeight="1">
      <c r="A52" s="34" t="s">
        <v>22</v>
      </c>
      <c r="B52" s="32">
        <f t="shared" si="1"/>
        <v>1087.557</v>
      </c>
      <c r="C52" s="8"/>
      <c r="D52" s="8"/>
      <c r="E52" s="15">
        <f>E53+E54</f>
        <v>539.963</v>
      </c>
      <c r="F52" s="16">
        <f>F53+F54</f>
        <v>547.594</v>
      </c>
    </row>
    <row r="53" spans="1:6" s="3" customFormat="1" ht="24.75" customHeight="1">
      <c r="A53" s="34" t="s">
        <v>23</v>
      </c>
      <c r="B53" s="32">
        <f t="shared" si="1"/>
        <v>1087.557</v>
      </c>
      <c r="C53" s="11"/>
      <c r="D53" s="11"/>
      <c r="E53" s="11">
        <v>539.963</v>
      </c>
      <c r="F53" s="12">
        <v>547.594</v>
      </c>
    </row>
    <row r="54" spans="1:6" s="3" customFormat="1" ht="24.75" customHeight="1">
      <c r="A54" s="34" t="s">
        <v>24</v>
      </c>
      <c r="B54" s="32">
        <f t="shared" si="1"/>
        <v>0</v>
      </c>
      <c r="C54" s="11"/>
      <c r="D54" s="11"/>
      <c r="E54" s="11"/>
      <c r="F54" s="12"/>
    </row>
    <row r="55" spans="1:6" s="3" customFormat="1" ht="50.25" customHeight="1">
      <c r="A55" s="69" t="s">
        <v>12</v>
      </c>
      <c r="B55" s="32">
        <f t="shared" si="1"/>
        <v>6987.527999999999</v>
      </c>
      <c r="C55" s="15"/>
      <c r="D55" s="8"/>
      <c r="E55" s="15">
        <f>E56+E57</f>
        <v>1478.03</v>
      </c>
      <c r="F55" s="16">
        <f>F56+F57</f>
        <v>5509.498</v>
      </c>
    </row>
    <row r="56" spans="1:6" s="3" customFormat="1" ht="26.25" customHeight="1">
      <c r="A56" s="34" t="s">
        <v>25</v>
      </c>
      <c r="B56" s="32">
        <f t="shared" si="1"/>
        <v>3645.3579999999997</v>
      </c>
      <c r="C56" s="8"/>
      <c r="D56" s="8"/>
      <c r="E56" s="15">
        <f>1478.03-E57</f>
        <v>1289.018</v>
      </c>
      <c r="F56" s="16">
        <f>5509.498-F57</f>
        <v>2356.3399999999997</v>
      </c>
    </row>
    <row r="57" spans="1:6" s="3" customFormat="1" ht="26.25" customHeight="1">
      <c r="A57" s="34" t="s">
        <v>22</v>
      </c>
      <c r="B57" s="32">
        <f t="shared" si="1"/>
        <v>3342.17</v>
      </c>
      <c r="C57" s="8"/>
      <c r="D57" s="8"/>
      <c r="E57" s="15">
        <f>E58+E59</f>
        <v>189.012</v>
      </c>
      <c r="F57" s="16">
        <f>F58+F59</f>
        <v>3153.158</v>
      </c>
    </row>
    <row r="58" spans="1:6" s="3" customFormat="1" ht="26.25" customHeight="1">
      <c r="A58" s="34" t="s">
        <v>23</v>
      </c>
      <c r="B58" s="32">
        <f t="shared" si="1"/>
        <v>724.212</v>
      </c>
      <c r="C58" s="10"/>
      <c r="D58" s="8"/>
      <c r="E58" s="11"/>
      <c r="F58" s="12">
        <v>724.212</v>
      </c>
    </row>
    <row r="59" spans="1:6" s="3" customFormat="1" ht="26.25" customHeight="1">
      <c r="A59" s="34" t="s">
        <v>24</v>
      </c>
      <c r="B59" s="32">
        <f t="shared" si="1"/>
        <v>2617.958</v>
      </c>
      <c r="C59" s="10"/>
      <c r="D59" s="8"/>
      <c r="E59" s="11">
        <v>189.012</v>
      </c>
      <c r="F59" s="12">
        <v>2428.946</v>
      </c>
    </row>
    <row r="60" spans="1:6" s="3" customFormat="1" ht="24.75" customHeight="1">
      <c r="A60" s="70" t="s">
        <v>13</v>
      </c>
      <c r="B60" s="32">
        <f t="shared" si="1"/>
        <v>189.24599999999998</v>
      </c>
      <c r="C60" s="10"/>
      <c r="D60" s="8"/>
      <c r="E60" s="8">
        <f>E61+E62</f>
        <v>88.506</v>
      </c>
      <c r="F60" s="9">
        <f>F61+F62</f>
        <v>100.74</v>
      </c>
    </row>
    <row r="61" spans="1:6" s="3" customFormat="1" ht="21.75" customHeight="1">
      <c r="A61" s="34" t="s">
        <v>25</v>
      </c>
      <c r="B61" s="32">
        <f t="shared" si="1"/>
        <v>189.24599999999998</v>
      </c>
      <c r="C61" s="8"/>
      <c r="D61" s="8"/>
      <c r="E61" s="15">
        <v>88.506</v>
      </c>
      <c r="F61" s="16">
        <v>100.74</v>
      </c>
    </row>
    <row r="62" spans="1:6" s="3" customFormat="1" ht="16.5" customHeight="1">
      <c r="A62" s="34" t="s">
        <v>22</v>
      </c>
      <c r="B62" s="32">
        <f t="shared" si="1"/>
        <v>0</v>
      </c>
      <c r="C62" s="8"/>
      <c r="D62" s="8"/>
      <c r="E62" s="15">
        <f>E63+E64</f>
        <v>0</v>
      </c>
      <c r="F62" s="16">
        <f>F63+F64</f>
        <v>0</v>
      </c>
    </row>
    <row r="63" spans="1:6" s="3" customFormat="1" ht="18" customHeight="1">
      <c r="A63" s="34" t="s">
        <v>23</v>
      </c>
      <c r="B63" s="32">
        <f t="shared" si="1"/>
        <v>0</v>
      </c>
      <c r="C63" s="10"/>
      <c r="D63" s="8"/>
      <c r="E63" s="10"/>
      <c r="F63" s="17"/>
    </row>
    <row r="64" spans="1:6" s="3" customFormat="1" ht="18" customHeight="1">
      <c r="A64" s="34" t="s">
        <v>24</v>
      </c>
      <c r="B64" s="32">
        <f t="shared" si="1"/>
        <v>0</v>
      </c>
      <c r="C64" s="10"/>
      <c r="D64" s="8"/>
      <c r="E64" s="10"/>
      <c r="F64" s="17"/>
    </row>
    <row r="65" spans="1:6" s="3" customFormat="1" ht="24.75" customHeight="1">
      <c r="A65" s="70" t="s">
        <v>4</v>
      </c>
      <c r="B65" s="32">
        <f t="shared" si="1"/>
        <v>659.506</v>
      </c>
      <c r="C65" s="15">
        <f>C66+C67</f>
        <v>659.506</v>
      </c>
      <c r="D65" s="8"/>
      <c r="E65" s="8"/>
      <c r="F65" s="9"/>
    </row>
    <row r="66" spans="1:6" s="3" customFormat="1" ht="21.75" customHeight="1">
      <c r="A66" s="34" t="s">
        <v>25</v>
      </c>
      <c r="B66" s="32">
        <f t="shared" si="1"/>
        <v>659.506</v>
      </c>
      <c r="C66" s="15">
        <v>659.506</v>
      </c>
      <c r="D66" s="8"/>
      <c r="E66" s="15">
        <f>E65-E67</f>
        <v>0</v>
      </c>
      <c r="F66" s="16">
        <f>F65-F67</f>
        <v>0</v>
      </c>
    </row>
    <row r="67" spans="1:6" s="3" customFormat="1" ht="18" customHeight="1">
      <c r="A67" s="34" t="s">
        <v>22</v>
      </c>
      <c r="B67" s="32">
        <f t="shared" si="1"/>
        <v>0</v>
      </c>
      <c r="C67" s="15">
        <f>C68+C69</f>
        <v>0</v>
      </c>
      <c r="D67" s="8"/>
      <c r="E67" s="15">
        <f>E68+E69</f>
        <v>0</v>
      </c>
      <c r="F67" s="16">
        <f>F68+F69</f>
        <v>0</v>
      </c>
    </row>
    <row r="68" spans="1:6" s="3" customFormat="1" ht="19.5" customHeight="1">
      <c r="A68" s="34" t="s">
        <v>23</v>
      </c>
      <c r="B68" s="32">
        <f t="shared" si="1"/>
        <v>0</v>
      </c>
      <c r="C68" s="11"/>
      <c r="D68" s="8"/>
      <c r="E68" s="8"/>
      <c r="F68" s="9"/>
    </row>
    <row r="69" spans="1:6" s="3" customFormat="1" ht="19.5" customHeight="1" thickBot="1">
      <c r="A69" s="34" t="s">
        <v>24</v>
      </c>
      <c r="B69" s="33">
        <f t="shared" si="1"/>
        <v>0</v>
      </c>
      <c r="C69" s="14"/>
      <c r="D69" s="13"/>
      <c r="E69" s="13"/>
      <c r="F69" s="18"/>
    </row>
    <row r="70" spans="1:7" s="74" customFormat="1" ht="24.75" customHeight="1">
      <c r="A70" s="70" t="s">
        <v>34</v>
      </c>
      <c r="B70" s="66">
        <f>C70+D70+E70+F70</f>
        <v>297.758</v>
      </c>
      <c r="C70" s="40"/>
      <c r="D70" s="40"/>
      <c r="E70" s="41">
        <v>297.758</v>
      </c>
      <c r="F70" s="42"/>
      <c r="G70" s="73"/>
    </row>
    <row r="71" spans="1:6" s="74" customFormat="1" ht="18.75" customHeight="1">
      <c r="A71" s="70" t="s">
        <v>35</v>
      </c>
      <c r="B71" s="32">
        <f aca="true" t="shared" si="2" ref="B71:B79">C71+D71+E71+F71</f>
        <v>36.854</v>
      </c>
      <c r="C71" s="8"/>
      <c r="D71" s="8"/>
      <c r="E71" s="11">
        <v>36.854</v>
      </c>
      <c r="F71" s="9"/>
    </row>
    <row r="72" spans="1:9" s="74" customFormat="1" ht="26.25" customHeight="1">
      <c r="A72" s="70" t="s">
        <v>42</v>
      </c>
      <c r="B72" s="32">
        <f t="shared" si="2"/>
        <v>518.7570000000001</v>
      </c>
      <c r="C72" s="8"/>
      <c r="D72" s="8"/>
      <c r="E72" s="11">
        <v>435.523</v>
      </c>
      <c r="F72" s="12">
        <v>83.234</v>
      </c>
      <c r="G72" s="73"/>
      <c r="H72" s="73"/>
      <c r="I72" s="73"/>
    </row>
    <row r="73" spans="1:9" s="78" customFormat="1" ht="30" customHeight="1">
      <c r="A73" s="115" t="s">
        <v>43</v>
      </c>
      <c r="B73" s="32">
        <f t="shared" si="2"/>
        <v>1360.75</v>
      </c>
      <c r="C73" s="75">
        <v>1344.9</v>
      </c>
      <c r="D73" s="75"/>
      <c r="E73" s="75"/>
      <c r="F73" s="76">
        <v>15.85</v>
      </c>
      <c r="G73" s="77"/>
      <c r="H73" s="77"/>
      <c r="I73" s="77"/>
    </row>
    <row r="74" spans="1:9" s="74" customFormat="1" ht="26.25" customHeight="1">
      <c r="A74" s="70" t="s">
        <v>36</v>
      </c>
      <c r="B74" s="32">
        <f t="shared" si="2"/>
        <v>749.353</v>
      </c>
      <c r="C74" s="10">
        <v>749.353</v>
      </c>
      <c r="D74" s="10"/>
      <c r="E74" s="10"/>
      <c r="F74" s="17"/>
      <c r="G74" s="73"/>
      <c r="H74" s="73"/>
      <c r="I74" s="73"/>
    </row>
    <row r="75" spans="1:9" s="74" customFormat="1" ht="24.75" customHeight="1">
      <c r="A75" s="70" t="s">
        <v>44</v>
      </c>
      <c r="B75" s="32">
        <f t="shared" si="2"/>
        <v>0</v>
      </c>
      <c r="C75" s="10"/>
      <c r="D75" s="10"/>
      <c r="E75" s="10"/>
      <c r="F75" s="17"/>
      <c r="G75" s="73"/>
      <c r="H75" s="73"/>
      <c r="I75" s="73"/>
    </row>
    <row r="76" spans="1:6" s="7" customFormat="1" ht="36" customHeight="1">
      <c r="A76" s="115" t="s">
        <v>37</v>
      </c>
      <c r="B76" s="111">
        <f t="shared" si="2"/>
        <v>0</v>
      </c>
      <c r="C76" s="46"/>
      <c r="D76" s="46"/>
      <c r="E76" s="46"/>
      <c r="F76" s="47"/>
    </row>
    <row r="77" spans="1:6" s="81" customFormat="1" ht="36" customHeight="1">
      <c r="A77" s="116" t="s">
        <v>38</v>
      </c>
      <c r="B77" s="111">
        <f t="shared" si="2"/>
        <v>0</v>
      </c>
      <c r="C77" s="46"/>
      <c r="D77" s="46"/>
      <c r="E77" s="46"/>
      <c r="F77" s="47"/>
    </row>
    <row r="78" spans="1:6" s="81" customFormat="1" ht="52.5" customHeight="1" thickBot="1">
      <c r="A78" s="117" t="s">
        <v>39</v>
      </c>
      <c r="B78" s="112">
        <f t="shared" si="2"/>
        <v>0</v>
      </c>
      <c r="C78" s="84"/>
      <c r="D78" s="84"/>
      <c r="E78" s="84"/>
      <c r="F78" s="85"/>
    </row>
    <row r="79" spans="1:6" s="4" customFormat="1" ht="28.5" customHeight="1" thickBot="1">
      <c r="A79" s="86" t="s">
        <v>14</v>
      </c>
      <c r="B79" s="87">
        <f t="shared" si="2"/>
        <v>129241.655</v>
      </c>
      <c r="C79" s="88">
        <f>C5+C10+C15+C20+C25+C30+C35+C40+C45+C50+C55+C60+C65+C70+C70+C71+C72+C73+C74+C75+C76+C77+C78</f>
        <v>47993.046</v>
      </c>
      <c r="D79" s="88">
        <f>D5+D10+D15+D20+D25+D30+D35+D40+D45+D50+D55+D60+D65+D70+D70+D71+D72+D73+D74+D75+D76+D77+D78</f>
        <v>2334.557</v>
      </c>
      <c r="E79" s="88">
        <f>E5+E10+E15+E20+E25+E30+E35+E40+E45+E50+E55+E60+E65+E70+E71+E72+E73+E74+E75+E76+E77+E78</f>
        <v>33839.902</v>
      </c>
      <c r="F79" s="88">
        <f>F5+F10+F15+F20+F25+F30+F35+F40+F45+F50+F55+F60+F65+F70+F70+F71+F72+F73+F74+F75+F76+F77+F78</f>
        <v>45074.14999999999</v>
      </c>
    </row>
    <row r="80" s="4" customFormat="1" ht="12.75"/>
    <row r="81" s="4" customFormat="1" ht="12.75"/>
    <row r="82" s="4" customFormat="1" ht="12.75"/>
    <row r="83" s="4" customFormat="1" ht="12.75"/>
    <row r="84" s="4" customFormat="1" ht="12.75"/>
    <row r="85" s="4" customFormat="1" ht="12.75"/>
    <row r="86" s="4" customFormat="1" ht="12.75"/>
    <row r="87" s="4" customFormat="1" ht="12.75"/>
    <row r="88" s="4" customFormat="1" ht="12.75"/>
    <row r="89" s="4" customFormat="1" ht="12.75"/>
    <row r="90" s="4" customFormat="1" ht="12.75"/>
    <row r="91" s="4" customFormat="1" ht="12.75"/>
    <row r="92" s="4" customFormat="1" ht="12.75"/>
    <row r="93" s="4" customFormat="1" ht="12.75"/>
    <row r="94" s="4" customFormat="1" ht="12.75"/>
    <row r="95" s="4" customFormat="1" ht="12.75"/>
    <row r="96" s="4" customFormat="1" ht="12.75"/>
    <row r="97" s="4" customFormat="1" ht="12.75"/>
    <row r="98" s="4" customFormat="1" ht="12.75"/>
    <row r="99" s="4" customFormat="1" ht="12.75"/>
    <row r="100" s="4" customFormat="1" ht="12.75"/>
    <row r="101" s="4" customFormat="1" ht="12.75"/>
    <row r="102" s="4" customFormat="1" ht="12.75"/>
    <row r="103" s="4" customFormat="1" ht="12.75"/>
    <row r="104" s="4" customFormat="1" ht="12.75"/>
    <row r="105" s="4" customFormat="1" ht="12.75"/>
    <row r="106" s="4" customFormat="1" ht="12.75"/>
    <row r="107" s="4" customFormat="1" ht="12.75"/>
    <row r="108" s="4" customFormat="1" ht="12.75"/>
    <row r="109" s="4" customFormat="1" ht="12.75"/>
    <row r="110" s="4" customFormat="1" ht="12.75"/>
    <row r="111" s="4" customFormat="1" ht="12.75"/>
    <row r="112" s="4" customFormat="1" ht="12.75"/>
    <row r="113" s="4" customFormat="1" ht="12.75"/>
    <row r="114" s="4" customFormat="1" ht="12.75"/>
    <row r="115" s="4" customFormat="1" ht="12.75"/>
    <row r="116" s="4" customFormat="1" ht="12.75"/>
    <row r="117" s="4" customFormat="1" ht="12.75"/>
    <row r="118" s="4" customFormat="1" ht="12.75"/>
    <row r="119" s="4" customFormat="1" ht="12.75"/>
    <row r="120" s="4" customFormat="1" ht="12.75"/>
    <row r="121" s="4" customFormat="1" ht="12.75"/>
    <row r="122" s="4" customFormat="1" ht="12.75"/>
    <row r="123" s="4" customFormat="1" ht="12.75"/>
    <row r="124" s="4" customFormat="1" ht="12.75"/>
    <row r="125" s="4" customFormat="1" ht="12.75"/>
    <row r="126" s="4" customFormat="1" ht="12.75"/>
    <row r="127" s="4" customFormat="1" ht="12.75"/>
    <row r="128" s="4" customFormat="1" ht="12.75"/>
    <row r="129" s="4" customFormat="1" ht="12.75"/>
    <row r="130" s="4" customFormat="1" ht="12.75"/>
    <row r="131" s="4" customFormat="1" ht="12.75"/>
    <row r="132" s="4" customFormat="1" ht="12.75"/>
    <row r="133" s="4" customFormat="1" ht="12.75"/>
    <row r="134" s="4" customFormat="1" ht="12.75"/>
    <row r="135" s="4" customFormat="1" ht="12.75"/>
    <row r="136" s="4" customFormat="1" ht="12.75"/>
    <row r="137" s="4" customFormat="1" ht="12.75"/>
    <row r="138" s="4" customFormat="1" ht="12.75"/>
    <row r="139" s="4" customFormat="1" ht="12.75"/>
    <row r="140" s="4" customFormat="1" ht="12.75"/>
    <row r="141" s="4" customFormat="1" ht="12.75"/>
    <row r="142" s="4" customFormat="1" ht="12.75"/>
    <row r="143" s="4" customFormat="1" ht="12.75"/>
    <row r="144" s="4" customFormat="1" ht="12.75"/>
  </sheetData>
  <mergeCells count="2">
    <mergeCell ref="A1:F1"/>
    <mergeCell ref="A2:F2"/>
  </mergeCells>
  <printOptions horizontalCentered="1"/>
  <pageMargins left="0.3937007874015748" right="0.3937007874015748" top="0.7874015748031497" bottom="0.3937007874015748" header="0.5118110236220472" footer="0.5118110236220472"/>
  <pageSetup fitToHeight="1" fitToWidth="1" horizontalDpi="600" verticalDpi="600" orientation="portrait" paperSize="9" scale="4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9"/>
  <sheetViews>
    <sheetView zoomScale="60" zoomScaleNormal="60" workbookViewId="0" topLeftCell="A55">
      <selection activeCell="E80" sqref="E80"/>
    </sheetView>
  </sheetViews>
  <sheetFormatPr defaultColWidth="9.00390625" defaultRowHeight="12.75"/>
  <cols>
    <col min="1" max="1" width="53.375" style="0" customWidth="1"/>
    <col min="2" max="6" width="23.625" style="0" customWidth="1"/>
    <col min="7" max="7" width="19.00390625" style="0" customWidth="1"/>
  </cols>
  <sheetData>
    <row r="1" spans="1:6" s="54" customFormat="1" ht="47.25" customHeight="1">
      <c r="A1" s="53" t="s">
        <v>45</v>
      </c>
      <c r="B1" s="53"/>
      <c r="C1" s="53"/>
      <c r="D1" s="53"/>
      <c r="E1" s="53"/>
      <c r="F1" s="53"/>
    </row>
    <row r="2" spans="1:6" s="57" customFormat="1" ht="23.25">
      <c r="A2" s="55" t="s">
        <v>50</v>
      </c>
      <c r="B2" s="55"/>
      <c r="C2" s="55"/>
      <c r="D2" s="56"/>
      <c r="E2" s="56"/>
      <c r="F2" s="56"/>
    </row>
    <row r="3" s="58" customFormat="1" ht="18.75" thickBot="1">
      <c r="F3" s="59" t="s">
        <v>46</v>
      </c>
    </row>
    <row r="4" spans="1:6" s="2" customFormat="1" ht="29.25" customHeight="1" thickBot="1">
      <c r="A4" s="61" t="s">
        <v>18</v>
      </c>
      <c r="B4" s="63"/>
      <c r="C4" s="63" t="s">
        <v>0</v>
      </c>
      <c r="D4" s="63" t="s">
        <v>1</v>
      </c>
      <c r="E4" s="63" t="s">
        <v>2</v>
      </c>
      <c r="F4" s="64" t="s">
        <v>3</v>
      </c>
    </row>
    <row r="5" spans="1:6" s="3" customFormat="1" ht="42.75" customHeight="1">
      <c r="A5" s="89" t="s">
        <v>7</v>
      </c>
      <c r="B5" s="72">
        <f aca="true" t="shared" si="0" ref="B5:B69">C5+D5+E5+F5</f>
        <v>85892.044</v>
      </c>
      <c r="C5" s="67">
        <f>C6+C7</f>
        <v>40077.473</v>
      </c>
      <c r="D5" s="67">
        <f>D6+D7</f>
        <v>1224.597</v>
      </c>
      <c r="E5" s="67">
        <f>E6+E7</f>
        <v>21227.922</v>
      </c>
      <c r="F5" s="68">
        <f>F6+F7</f>
        <v>23362.052</v>
      </c>
    </row>
    <row r="6" spans="1:7" s="3" customFormat="1" ht="27" customHeight="1">
      <c r="A6" s="19" t="s">
        <v>25</v>
      </c>
      <c r="B6" s="6">
        <f t="shared" si="0"/>
        <v>71082.544</v>
      </c>
      <c r="C6" s="8">
        <v>39798.327</v>
      </c>
      <c r="D6" s="8">
        <v>1223.447</v>
      </c>
      <c r="E6" s="8">
        <v>20539.983</v>
      </c>
      <c r="F6" s="9">
        <v>9520.787</v>
      </c>
      <c r="G6" s="30"/>
    </row>
    <row r="7" spans="1:6" s="3" customFormat="1" ht="20.25" customHeight="1">
      <c r="A7" s="19" t="s">
        <v>22</v>
      </c>
      <c r="B7" s="6">
        <f t="shared" si="0"/>
        <v>14809.5</v>
      </c>
      <c r="C7" s="15">
        <f>C8+C9</f>
        <v>279.146</v>
      </c>
      <c r="D7" s="15">
        <f>D8+D9</f>
        <v>1.15</v>
      </c>
      <c r="E7" s="15">
        <f>E8+E9</f>
        <v>687.9390000000001</v>
      </c>
      <c r="F7" s="16">
        <f>F8+F9</f>
        <v>13841.265</v>
      </c>
    </row>
    <row r="8" spans="1:7" s="3" customFormat="1" ht="21.75" customHeight="1">
      <c r="A8" s="19" t="s">
        <v>23</v>
      </c>
      <c r="B8" s="6">
        <f t="shared" si="0"/>
        <v>4274.303</v>
      </c>
      <c r="C8" s="11">
        <v>48.477</v>
      </c>
      <c r="D8" s="11"/>
      <c r="E8" s="11">
        <v>106.686</v>
      </c>
      <c r="F8" s="12">
        <v>4119.14</v>
      </c>
      <c r="G8" s="30"/>
    </row>
    <row r="9" spans="1:6" s="3" customFormat="1" ht="24.75" customHeight="1">
      <c r="A9" s="19" t="s">
        <v>24</v>
      </c>
      <c r="B9" s="6">
        <f t="shared" si="0"/>
        <v>10535.197</v>
      </c>
      <c r="C9" s="11">
        <v>230.669</v>
      </c>
      <c r="D9" s="11">
        <v>1.15</v>
      </c>
      <c r="E9" s="11">
        <v>581.253</v>
      </c>
      <c r="F9" s="12">
        <v>9722.125</v>
      </c>
    </row>
    <row r="10" spans="1:7" s="3" customFormat="1" ht="44.25" customHeight="1">
      <c r="A10" s="90" t="s">
        <v>15</v>
      </c>
      <c r="B10" s="6">
        <f t="shared" si="0"/>
        <v>5939.873</v>
      </c>
      <c r="C10" s="15">
        <f>C11+C12</f>
        <v>857.74</v>
      </c>
      <c r="D10" s="15"/>
      <c r="E10" s="15">
        <f>E11+E12</f>
        <v>2363.751</v>
      </c>
      <c r="F10" s="16">
        <f>F11+F12</f>
        <v>2718.382</v>
      </c>
      <c r="G10" s="5"/>
    </row>
    <row r="11" spans="1:6" s="3" customFormat="1" ht="21.75" customHeight="1">
      <c r="A11" s="19" t="s">
        <v>25</v>
      </c>
      <c r="B11" s="6">
        <f t="shared" si="0"/>
        <v>3785.9799999999996</v>
      </c>
      <c r="C11" s="8">
        <v>770.853</v>
      </c>
      <c r="D11" s="8"/>
      <c r="E11" s="8">
        <v>1895.787</v>
      </c>
      <c r="F11" s="9">
        <v>1119.34</v>
      </c>
    </row>
    <row r="12" spans="1:6" s="3" customFormat="1" ht="19.5" customHeight="1">
      <c r="A12" s="19" t="s">
        <v>22</v>
      </c>
      <c r="B12" s="6">
        <f t="shared" si="0"/>
        <v>2153.893</v>
      </c>
      <c r="C12" s="15">
        <f>C13+C14</f>
        <v>86.887</v>
      </c>
      <c r="D12" s="8"/>
      <c r="E12" s="15">
        <f>E13+E14</f>
        <v>467.96399999999994</v>
      </c>
      <c r="F12" s="16">
        <f>F13+F14</f>
        <v>1599.0420000000001</v>
      </c>
    </row>
    <row r="13" spans="1:6" s="3" customFormat="1" ht="17.25" customHeight="1">
      <c r="A13" s="19" t="s">
        <v>23</v>
      </c>
      <c r="B13" s="6">
        <f t="shared" si="0"/>
        <v>1192.549</v>
      </c>
      <c r="C13" s="24"/>
      <c r="D13" s="24"/>
      <c r="E13" s="24">
        <v>102.648</v>
      </c>
      <c r="F13" s="25">
        <v>1089.901</v>
      </c>
    </row>
    <row r="14" spans="1:6" s="3" customFormat="1" ht="17.25" customHeight="1">
      <c r="A14" s="19" t="s">
        <v>24</v>
      </c>
      <c r="B14" s="6">
        <f t="shared" si="0"/>
        <v>961.344</v>
      </c>
      <c r="C14" s="24">
        <v>86.887</v>
      </c>
      <c r="D14" s="24"/>
      <c r="E14" s="24">
        <v>365.316</v>
      </c>
      <c r="F14" s="25">
        <v>509.141</v>
      </c>
    </row>
    <row r="15" spans="1:6" s="3" customFormat="1" ht="24.75" customHeight="1">
      <c r="A15" s="90" t="s">
        <v>6</v>
      </c>
      <c r="B15" s="6">
        <f t="shared" si="0"/>
        <v>1453.1360000000002</v>
      </c>
      <c r="C15" s="15">
        <f>C16+C17</f>
        <v>1453.1360000000002</v>
      </c>
      <c r="D15" s="8"/>
      <c r="E15" s="8"/>
      <c r="F15" s="16">
        <f>F16+F17</f>
        <v>0</v>
      </c>
    </row>
    <row r="16" spans="1:6" s="3" customFormat="1" ht="19.5" customHeight="1">
      <c r="A16" s="19" t="s">
        <v>25</v>
      </c>
      <c r="B16" s="6">
        <f t="shared" si="0"/>
        <v>1452.871</v>
      </c>
      <c r="C16" s="8">
        <v>1452.871</v>
      </c>
      <c r="D16" s="8"/>
      <c r="E16" s="15"/>
      <c r="F16" s="16"/>
    </row>
    <row r="17" spans="1:6" s="3" customFormat="1" ht="18" customHeight="1">
      <c r="A17" s="19" t="s">
        <v>22</v>
      </c>
      <c r="B17" s="6">
        <f t="shared" si="0"/>
        <v>0.265</v>
      </c>
      <c r="C17" s="15">
        <f>C18+C19</f>
        <v>0.265</v>
      </c>
      <c r="D17" s="8"/>
      <c r="E17" s="15">
        <f>E18+E19</f>
        <v>0</v>
      </c>
      <c r="F17" s="16">
        <f>F18+F19</f>
        <v>0</v>
      </c>
    </row>
    <row r="18" spans="1:6" s="3" customFormat="1" ht="19.5" customHeight="1">
      <c r="A18" s="19" t="s">
        <v>23</v>
      </c>
      <c r="B18" s="6">
        <f t="shared" si="0"/>
        <v>0</v>
      </c>
      <c r="C18" s="21"/>
      <c r="D18" s="21"/>
      <c r="E18" s="21"/>
      <c r="F18" s="22"/>
    </row>
    <row r="19" spans="1:6" s="3" customFormat="1" ht="19.5" customHeight="1">
      <c r="A19" s="19" t="s">
        <v>24</v>
      </c>
      <c r="B19" s="6">
        <f t="shared" si="0"/>
        <v>0.265</v>
      </c>
      <c r="C19" s="24">
        <v>0.265</v>
      </c>
      <c r="D19" s="21"/>
      <c r="E19" s="21"/>
      <c r="F19" s="22"/>
    </row>
    <row r="20" spans="1:6" s="3" customFormat="1" ht="54" customHeight="1">
      <c r="A20" s="90" t="s">
        <v>8</v>
      </c>
      <c r="B20" s="6">
        <f t="shared" si="0"/>
        <v>704.3399999999999</v>
      </c>
      <c r="C20" s="15">
        <f>C21+C22</f>
        <v>11.685</v>
      </c>
      <c r="D20" s="15">
        <f>D21+D22</f>
        <v>592.049</v>
      </c>
      <c r="E20" s="15">
        <f>E21+E22</f>
        <v>18.603</v>
      </c>
      <c r="F20" s="16">
        <f>F21+F22</f>
        <v>82.003</v>
      </c>
    </row>
    <row r="21" spans="1:6" s="3" customFormat="1" ht="21.75" customHeight="1">
      <c r="A21" s="19" t="s">
        <v>25</v>
      </c>
      <c r="B21" s="6">
        <f t="shared" si="0"/>
        <v>683.4199999999998</v>
      </c>
      <c r="C21" s="8">
        <v>11.685</v>
      </c>
      <c r="D21" s="8">
        <v>592.049</v>
      </c>
      <c r="E21" s="8">
        <v>18.603</v>
      </c>
      <c r="F21" s="9">
        <v>61.083</v>
      </c>
    </row>
    <row r="22" spans="1:6" s="3" customFormat="1" ht="21" customHeight="1">
      <c r="A22" s="19" t="s">
        <v>22</v>
      </c>
      <c r="B22" s="6">
        <f t="shared" si="0"/>
        <v>20.92</v>
      </c>
      <c r="C22" s="15">
        <f>C23+C24</f>
        <v>0</v>
      </c>
      <c r="D22" s="8"/>
      <c r="E22" s="15">
        <f>E23+E24</f>
        <v>0</v>
      </c>
      <c r="F22" s="16">
        <f>F23+F24</f>
        <v>20.92</v>
      </c>
    </row>
    <row r="23" spans="1:6" s="3" customFormat="1" ht="21.75" customHeight="1">
      <c r="A23" s="19" t="s">
        <v>23</v>
      </c>
      <c r="B23" s="6">
        <f t="shared" si="0"/>
        <v>20.92</v>
      </c>
      <c r="C23" s="21"/>
      <c r="D23" s="21"/>
      <c r="E23" s="24"/>
      <c r="F23" s="25">
        <v>20.92</v>
      </c>
    </row>
    <row r="24" spans="1:6" s="3" customFormat="1" ht="21" customHeight="1">
      <c r="A24" s="19" t="s">
        <v>24</v>
      </c>
      <c r="B24" s="6">
        <f t="shared" si="0"/>
        <v>0</v>
      </c>
      <c r="C24" s="21"/>
      <c r="D24" s="21"/>
      <c r="E24" s="21"/>
      <c r="F24" s="22"/>
    </row>
    <row r="25" spans="1:6" s="3" customFormat="1" ht="65.25" customHeight="1">
      <c r="A25" s="90" t="s">
        <v>9</v>
      </c>
      <c r="B25" s="6">
        <f t="shared" si="0"/>
        <v>13019.919</v>
      </c>
      <c r="C25" s="15">
        <f>C26+C27</f>
        <v>7242.2</v>
      </c>
      <c r="D25" s="15">
        <f>D26+D27</f>
        <v>0</v>
      </c>
      <c r="E25" s="15">
        <f>E26+E27</f>
        <v>1815.918</v>
      </c>
      <c r="F25" s="16">
        <f>F26+F27</f>
        <v>3961.801</v>
      </c>
    </row>
    <row r="26" spans="1:6" s="3" customFormat="1" ht="19.5" customHeight="1">
      <c r="A26" s="19" t="s">
        <v>25</v>
      </c>
      <c r="B26" s="6">
        <f t="shared" si="0"/>
        <v>10518.709</v>
      </c>
      <c r="C26" s="8">
        <v>7242.2</v>
      </c>
      <c r="D26" s="8"/>
      <c r="E26" s="8">
        <v>1815.918</v>
      </c>
      <c r="F26" s="9">
        <v>1460.591</v>
      </c>
    </row>
    <row r="27" spans="1:6" s="3" customFormat="1" ht="24.75" customHeight="1">
      <c r="A27" s="19" t="s">
        <v>22</v>
      </c>
      <c r="B27" s="6">
        <f t="shared" si="0"/>
        <v>2501.21</v>
      </c>
      <c r="C27" s="15">
        <f>C28+C29</f>
        <v>0</v>
      </c>
      <c r="D27" s="8"/>
      <c r="E27" s="15">
        <f>E28+E29</f>
        <v>0</v>
      </c>
      <c r="F27" s="16">
        <f>F28+F29</f>
        <v>2501.21</v>
      </c>
    </row>
    <row r="28" spans="1:6" s="3" customFormat="1" ht="25.5" customHeight="1">
      <c r="A28" s="19" t="s">
        <v>23</v>
      </c>
      <c r="B28" s="6">
        <f t="shared" si="0"/>
        <v>2474.909</v>
      </c>
      <c r="C28" s="21"/>
      <c r="D28" s="21"/>
      <c r="E28" s="24"/>
      <c r="F28" s="25">
        <f>2369.884+105.025</f>
        <v>2474.909</v>
      </c>
    </row>
    <row r="29" spans="1:6" s="3" customFormat="1" ht="20.25" customHeight="1">
      <c r="A29" s="19" t="s">
        <v>24</v>
      </c>
      <c r="B29" s="6">
        <f t="shared" si="0"/>
        <v>26.301</v>
      </c>
      <c r="C29" s="21"/>
      <c r="D29" s="21"/>
      <c r="E29" s="24"/>
      <c r="F29" s="25">
        <v>26.301</v>
      </c>
    </row>
    <row r="30" spans="1:9" s="3" customFormat="1" ht="59.25" customHeight="1">
      <c r="A30" s="90" t="s">
        <v>10</v>
      </c>
      <c r="B30" s="6">
        <f t="shared" si="0"/>
        <v>73.815</v>
      </c>
      <c r="C30" s="21"/>
      <c r="D30" s="21"/>
      <c r="E30" s="15">
        <f>E31+E32</f>
        <v>44.292</v>
      </c>
      <c r="F30" s="16">
        <f>F31+F32</f>
        <v>29.523</v>
      </c>
      <c r="H30" s="1"/>
      <c r="I30" s="1"/>
    </row>
    <row r="31" spans="1:9" s="3" customFormat="1" ht="22.5" customHeight="1">
      <c r="A31" s="19" t="s">
        <v>25</v>
      </c>
      <c r="B31" s="6">
        <f t="shared" si="0"/>
        <v>52.928</v>
      </c>
      <c r="C31" s="8"/>
      <c r="D31" s="8"/>
      <c r="E31" s="8">
        <v>44.292</v>
      </c>
      <c r="F31" s="9">
        <v>8.636</v>
      </c>
      <c r="H31" s="1"/>
      <c r="I31" s="1"/>
    </row>
    <row r="32" spans="1:6" s="3" customFormat="1" ht="24.75" customHeight="1">
      <c r="A32" s="19" t="s">
        <v>22</v>
      </c>
      <c r="B32" s="6">
        <f t="shared" si="0"/>
        <v>20.887</v>
      </c>
      <c r="C32" s="8"/>
      <c r="D32" s="8"/>
      <c r="E32" s="15">
        <f>E33+E34</f>
        <v>0</v>
      </c>
      <c r="F32" s="16">
        <f>F33+F34</f>
        <v>20.887</v>
      </c>
    </row>
    <row r="33" spans="1:6" s="3" customFormat="1" ht="18" customHeight="1">
      <c r="A33" s="19" t="s">
        <v>23</v>
      </c>
      <c r="B33" s="6">
        <f t="shared" si="0"/>
        <v>16.295</v>
      </c>
      <c r="C33" s="21"/>
      <c r="D33" s="21"/>
      <c r="E33" s="21"/>
      <c r="F33" s="25">
        <v>16.295</v>
      </c>
    </row>
    <row r="34" spans="1:6" s="3" customFormat="1" ht="18" customHeight="1" thickBot="1">
      <c r="A34" s="19" t="s">
        <v>24</v>
      </c>
      <c r="B34" s="6">
        <f t="shared" si="0"/>
        <v>4.592</v>
      </c>
      <c r="C34" s="21"/>
      <c r="D34" s="21"/>
      <c r="E34" s="21"/>
      <c r="F34" s="25">
        <v>4.592</v>
      </c>
    </row>
    <row r="35" spans="1:6" s="3" customFormat="1" ht="25.5" customHeight="1">
      <c r="A35" s="104" t="s">
        <v>40</v>
      </c>
      <c r="B35" s="6">
        <f t="shared" si="0"/>
        <v>0</v>
      </c>
      <c r="C35" s="21"/>
      <c r="D35" s="21"/>
      <c r="E35" s="15">
        <f>E36+E37</f>
        <v>0</v>
      </c>
      <c r="F35" s="16">
        <f>F36+F37</f>
        <v>0</v>
      </c>
    </row>
    <row r="36" spans="1:6" s="3" customFormat="1" ht="23.25" customHeight="1">
      <c r="A36" s="19" t="s">
        <v>25</v>
      </c>
      <c r="B36" s="6">
        <f t="shared" si="0"/>
        <v>0</v>
      </c>
      <c r="C36" s="8"/>
      <c r="D36" s="8"/>
      <c r="E36" s="8"/>
      <c r="F36" s="9"/>
    </row>
    <row r="37" spans="1:6" s="3" customFormat="1" ht="23.25" customHeight="1">
      <c r="A37" s="19" t="s">
        <v>22</v>
      </c>
      <c r="B37" s="6">
        <f t="shared" si="0"/>
        <v>0</v>
      </c>
      <c r="C37" s="8"/>
      <c r="D37" s="8"/>
      <c r="E37" s="15">
        <f>E38+E39</f>
        <v>0</v>
      </c>
      <c r="F37" s="16">
        <f>F38+F39</f>
        <v>0</v>
      </c>
    </row>
    <row r="38" spans="1:6" s="3" customFormat="1" ht="23.25" customHeight="1">
      <c r="A38" s="19" t="s">
        <v>23</v>
      </c>
      <c r="B38" s="6">
        <f t="shared" si="0"/>
        <v>0</v>
      </c>
      <c r="C38" s="21"/>
      <c r="D38" s="21"/>
      <c r="E38" s="21"/>
      <c r="F38" s="25"/>
    </row>
    <row r="39" spans="1:6" s="3" customFormat="1" ht="23.25" customHeight="1" thickBot="1">
      <c r="A39" s="20" t="s">
        <v>24</v>
      </c>
      <c r="B39" s="6">
        <f t="shared" si="0"/>
        <v>0</v>
      </c>
      <c r="C39" s="21"/>
      <c r="D39" s="21"/>
      <c r="E39" s="21"/>
      <c r="F39" s="25"/>
    </row>
    <row r="40" spans="1:7" s="3" customFormat="1" ht="42" customHeight="1">
      <c r="A40" s="89" t="s">
        <v>41</v>
      </c>
      <c r="B40" s="6">
        <f t="shared" si="0"/>
        <v>0</v>
      </c>
      <c r="C40" s="21"/>
      <c r="D40" s="21"/>
      <c r="E40" s="15">
        <f>E41+E42</f>
        <v>0</v>
      </c>
      <c r="F40" s="16">
        <f>F41+F42</f>
        <v>0</v>
      </c>
      <c r="G40" s="7"/>
    </row>
    <row r="41" spans="1:6" s="3" customFormat="1" ht="19.5" customHeight="1">
      <c r="A41" s="19" t="s">
        <v>25</v>
      </c>
      <c r="B41" s="6">
        <f t="shared" si="0"/>
        <v>0</v>
      </c>
      <c r="C41" s="8"/>
      <c r="D41" s="8"/>
      <c r="E41" s="8"/>
      <c r="F41" s="9"/>
    </row>
    <row r="42" spans="1:6" s="3" customFormat="1" ht="19.5" customHeight="1">
      <c r="A42" s="19" t="s">
        <v>22</v>
      </c>
      <c r="B42" s="6">
        <f t="shared" si="0"/>
        <v>0</v>
      </c>
      <c r="C42" s="8"/>
      <c r="D42" s="8"/>
      <c r="E42" s="15">
        <f>E43+E44</f>
        <v>0</v>
      </c>
      <c r="F42" s="16">
        <f>F43+F44</f>
        <v>0</v>
      </c>
    </row>
    <row r="43" spans="1:6" s="3" customFormat="1" ht="19.5" customHeight="1">
      <c r="A43" s="19" t="s">
        <v>23</v>
      </c>
      <c r="B43" s="6">
        <f t="shared" si="0"/>
        <v>0</v>
      </c>
      <c r="C43" s="21"/>
      <c r="D43" s="21"/>
      <c r="E43" s="21"/>
      <c r="F43" s="25"/>
    </row>
    <row r="44" spans="1:6" s="3" customFormat="1" ht="19.5" customHeight="1">
      <c r="A44" s="26" t="s">
        <v>24</v>
      </c>
      <c r="B44" s="6">
        <f t="shared" si="0"/>
        <v>0</v>
      </c>
      <c r="C44" s="21"/>
      <c r="D44" s="21"/>
      <c r="E44" s="21"/>
      <c r="F44" s="25"/>
    </row>
    <row r="45" spans="1:6" s="3" customFormat="1" ht="24.75" customHeight="1">
      <c r="A45" s="90" t="s">
        <v>11</v>
      </c>
      <c r="B45" s="6">
        <f t="shared" si="0"/>
        <v>2567.2780000000002</v>
      </c>
      <c r="C45" s="8"/>
      <c r="D45" s="8"/>
      <c r="E45" s="15">
        <f>E46+E47</f>
        <v>1955.415</v>
      </c>
      <c r="F45" s="16">
        <f>F46+F47</f>
        <v>611.863</v>
      </c>
    </row>
    <row r="46" spans="1:6" s="3" customFormat="1" ht="24.75" customHeight="1">
      <c r="A46" s="19" t="s">
        <v>25</v>
      </c>
      <c r="B46" s="6">
        <f t="shared" si="0"/>
        <v>2092.707</v>
      </c>
      <c r="C46" s="8"/>
      <c r="D46" s="8"/>
      <c r="E46" s="8">
        <v>1934.769</v>
      </c>
      <c r="F46" s="9">
        <v>157.938</v>
      </c>
    </row>
    <row r="47" spans="1:6" s="3" customFormat="1" ht="24.75" customHeight="1">
      <c r="A47" s="19" t="s">
        <v>22</v>
      </c>
      <c r="B47" s="6">
        <f t="shared" si="0"/>
        <v>474.571</v>
      </c>
      <c r="C47" s="8"/>
      <c r="D47" s="8"/>
      <c r="E47" s="15">
        <f>E48+E49</f>
        <v>20.646</v>
      </c>
      <c r="F47" s="16">
        <f>F48+F49</f>
        <v>453.925</v>
      </c>
    </row>
    <row r="48" spans="1:6" s="3" customFormat="1" ht="24.75" customHeight="1">
      <c r="A48" s="19" t="s">
        <v>23</v>
      </c>
      <c r="B48" s="6">
        <f t="shared" si="0"/>
        <v>380.653</v>
      </c>
      <c r="C48" s="8"/>
      <c r="D48" s="8"/>
      <c r="E48" s="24">
        <f>19.86</f>
        <v>19.86</v>
      </c>
      <c r="F48" s="25">
        <f>332.933+27.86</f>
        <v>360.793</v>
      </c>
    </row>
    <row r="49" spans="1:6" s="3" customFormat="1" ht="24.75" customHeight="1">
      <c r="A49" s="19" t="s">
        <v>24</v>
      </c>
      <c r="B49" s="6">
        <f t="shared" si="0"/>
        <v>93.918</v>
      </c>
      <c r="C49" s="8"/>
      <c r="D49" s="8"/>
      <c r="E49" s="24">
        <v>0.786</v>
      </c>
      <c r="F49" s="25">
        <v>93.132</v>
      </c>
    </row>
    <row r="50" spans="1:6" s="3" customFormat="1" ht="24.75" customHeight="1">
      <c r="A50" s="90" t="s">
        <v>5</v>
      </c>
      <c r="B50" s="6">
        <f t="shared" si="0"/>
        <v>2146.2070000000003</v>
      </c>
      <c r="C50" s="15">
        <f>C51+C52</f>
        <v>388.812</v>
      </c>
      <c r="D50" s="21"/>
      <c r="E50" s="15">
        <f>E51+E52</f>
        <v>839.9159999999999</v>
      </c>
      <c r="F50" s="16">
        <f>F51+F52</f>
        <v>917.479</v>
      </c>
    </row>
    <row r="51" spans="1:6" s="3" customFormat="1" ht="24.75" customHeight="1">
      <c r="A51" s="19" t="s">
        <v>25</v>
      </c>
      <c r="B51" s="6">
        <f t="shared" si="0"/>
        <v>1182.822</v>
      </c>
      <c r="C51" s="15">
        <v>388.812</v>
      </c>
      <c r="D51" s="15"/>
      <c r="E51" s="8">
        <v>364.718</v>
      </c>
      <c r="F51" s="9">
        <v>429.292</v>
      </c>
    </row>
    <row r="52" spans="1:6" s="3" customFormat="1" ht="24.75" customHeight="1">
      <c r="A52" s="19" t="s">
        <v>22</v>
      </c>
      <c r="B52" s="6">
        <f t="shared" si="0"/>
        <v>963.385</v>
      </c>
      <c r="C52" s="8"/>
      <c r="D52" s="8"/>
      <c r="E52" s="15">
        <f>E53+E54</f>
        <v>475.198</v>
      </c>
      <c r="F52" s="16">
        <f>F53+F54</f>
        <v>488.187</v>
      </c>
    </row>
    <row r="53" spans="1:6" s="3" customFormat="1" ht="24.75" customHeight="1">
      <c r="A53" s="19" t="s">
        <v>23</v>
      </c>
      <c r="B53" s="6">
        <f t="shared" si="0"/>
        <v>963.385</v>
      </c>
      <c r="C53" s="21"/>
      <c r="D53" s="21"/>
      <c r="E53" s="24">
        <f>464.506+10.692</f>
        <v>475.198</v>
      </c>
      <c r="F53" s="25">
        <f>388.586+99.601</f>
        <v>488.187</v>
      </c>
    </row>
    <row r="54" spans="1:8" s="3" customFormat="1" ht="24.75" customHeight="1">
      <c r="A54" s="19" t="s">
        <v>24</v>
      </c>
      <c r="B54" s="6">
        <f t="shared" si="0"/>
        <v>0</v>
      </c>
      <c r="C54" s="21"/>
      <c r="D54" s="21"/>
      <c r="E54" s="24"/>
      <c r="F54" s="22"/>
      <c r="H54" s="36"/>
    </row>
    <row r="55" spans="1:6" s="3" customFormat="1" ht="62.25" customHeight="1">
      <c r="A55" s="90" t="s">
        <v>12</v>
      </c>
      <c r="B55" s="6">
        <f t="shared" si="0"/>
        <v>5779.207</v>
      </c>
      <c r="C55" s="8"/>
      <c r="D55" s="8"/>
      <c r="E55" s="15">
        <f>E56+E57</f>
        <v>1426.88</v>
      </c>
      <c r="F55" s="16">
        <f>F56+F57</f>
        <v>4352.327</v>
      </c>
    </row>
    <row r="56" spans="1:6" s="3" customFormat="1" ht="26.25" customHeight="1">
      <c r="A56" s="19" t="s">
        <v>25</v>
      </c>
      <c r="B56" s="6">
        <f t="shared" si="0"/>
        <v>2874.6980000000003</v>
      </c>
      <c r="C56" s="8"/>
      <c r="D56" s="8"/>
      <c r="E56" s="15">
        <v>1220.817</v>
      </c>
      <c r="F56" s="16">
        <v>1653.881</v>
      </c>
    </row>
    <row r="57" spans="1:6" s="3" customFormat="1" ht="26.25" customHeight="1">
      <c r="A57" s="19" t="s">
        <v>22</v>
      </c>
      <c r="B57" s="6">
        <f t="shared" si="0"/>
        <v>2904.509</v>
      </c>
      <c r="C57" s="8"/>
      <c r="D57" s="8"/>
      <c r="E57" s="15">
        <f>E58+E59</f>
        <v>206.063</v>
      </c>
      <c r="F57" s="16">
        <f>F58+F59</f>
        <v>2698.446</v>
      </c>
    </row>
    <row r="58" spans="1:6" s="3" customFormat="1" ht="26.25" customHeight="1">
      <c r="A58" s="19" t="s">
        <v>23</v>
      </c>
      <c r="B58" s="6">
        <f t="shared" si="0"/>
        <v>629.8090000000001</v>
      </c>
      <c r="C58" s="8"/>
      <c r="D58" s="8"/>
      <c r="E58" s="24">
        <v>37.369</v>
      </c>
      <c r="F58" s="25">
        <v>592.44</v>
      </c>
    </row>
    <row r="59" spans="1:6" s="3" customFormat="1" ht="26.25" customHeight="1">
      <c r="A59" s="19" t="s">
        <v>24</v>
      </c>
      <c r="B59" s="6">
        <f t="shared" si="0"/>
        <v>2274.7</v>
      </c>
      <c r="C59" s="8"/>
      <c r="D59" s="8"/>
      <c r="E59" s="24">
        <v>168.694</v>
      </c>
      <c r="F59" s="25">
        <v>2106.006</v>
      </c>
    </row>
    <row r="60" spans="1:6" s="3" customFormat="1" ht="24.75" customHeight="1">
      <c r="A60" s="39" t="s">
        <v>13</v>
      </c>
      <c r="B60" s="6">
        <f t="shared" si="0"/>
        <v>154.857</v>
      </c>
      <c r="C60" s="8"/>
      <c r="D60" s="8"/>
      <c r="E60" s="8">
        <f>E61+E62</f>
        <v>77.85</v>
      </c>
      <c r="F60" s="9">
        <f>F61+F62</f>
        <v>77.007</v>
      </c>
    </row>
    <row r="61" spans="1:6" s="3" customFormat="1" ht="26.25" customHeight="1">
      <c r="A61" s="19" t="s">
        <v>25</v>
      </c>
      <c r="B61" s="6">
        <f t="shared" si="0"/>
        <v>154.857</v>
      </c>
      <c r="C61" s="8"/>
      <c r="D61" s="8"/>
      <c r="E61" s="15">
        <v>77.85</v>
      </c>
      <c r="F61" s="16">
        <v>77.007</v>
      </c>
    </row>
    <row r="62" spans="1:6" s="3" customFormat="1" ht="26.25" customHeight="1">
      <c r="A62" s="19" t="s">
        <v>22</v>
      </c>
      <c r="B62" s="6">
        <f t="shared" si="0"/>
        <v>0</v>
      </c>
      <c r="C62" s="8"/>
      <c r="D62" s="8"/>
      <c r="E62" s="15">
        <f>E63+E64</f>
        <v>0</v>
      </c>
      <c r="F62" s="16">
        <f>F63+F64</f>
        <v>0</v>
      </c>
    </row>
    <row r="63" spans="1:6" s="3" customFormat="1" ht="26.25" customHeight="1">
      <c r="A63" s="19" t="s">
        <v>23</v>
      </c>
      <c r="B63" s="6">
        <f t="shared" si="0"/>
        <v>0</v>
      </c>
      <c r="C63" s="8"/>
      <c r="D63" s="8"/>
      <c r="E63" s="8"/>
      <c r="F63" s="9"/>
    </row>
    <row r="64" spans="1:6" s="3" customFormat="1" ht="26.25" customHeight="1">
      <c r="A64" s="19" t="s">
        <v>24</v>
      </c>
      <c r="B64" s="6">
        <f t="shared" si="0"/>
        <v>0</v>
      </c>
      <c r="C64" s="8"/>
      <c r="D64" s="8"/>
      <c r="E64" s="8"/>
      <c r="F64" s="9"/>
    </row>
    <row r="65" spans="1:6" s="3" customFormat="1" ht="24.75" customHeight="1">
      <c r="A65" s="39" t="s">
        <v>4</v>
      </c>
      <c r="B65" s="6">
        <f t="shared" si="0"/>
        <v>846.23</v>
      </c>
      <c r="C65" s="8">
        <f>C66+C67</f>
        <v>846.23</v>
      </c>
      <c r="D65" s="8"/>
      <c r="E65" s="8"/>
      <c r="F65" s="9"/>
    </row>
    <row r="66" spans="1:6" s="3" customFormat="1" ht="21.75" customHeight="1">
      <c r="A66" s="19" t="s">
        <v>25</v>
      </c>
      <c r="B66" s="6">
        <f t="shared" si="0"/>
        <v>846.23</v>
      </c>
      <c r="C66" s="15">
        <v>846.23</v>
      </c>
      <c r="D66" s="8"/>
      <c r="E66" s="15"/>
      <c r="F66" s="16"/>
    </row>
    <row r="67" spans="1:6" s="3" customFormat="1" ht="18" customHeight="1">
      <c r="A67" s="19" t="s">
        <v>22</v>
      </c>
      <c r="B67" s="6">
        <f t="shared" si="0"/>
        <v>0</v>
      </c>
      <c r="C67" s="15">
        <f>C68+C69</f>
        <v>0</v>
      </c>
      <c r="D67" s="8"/>
      <c r="E67" s="15">
        <f>E68+E69</f>
        <v>0</v>
      </c>
      <c r="F67" s="16">
        <f>F68+F69</f>
        <v>0</v>
      </c>
    </row>
    <row r="68" spans="1:6" s="3" customFormat="1" ht="19.5" customHeight="1">
      <c r="A68" s="19" t="s">
        <v>23</v>
      </c>
      <c r="B68" s="6">
        <f t="shared" si="0"/>
        <v>0</v>
      </c>
      <c r="C68" s="21"/>
      <c r="D68" s="8"/>
      <c r="E68" s="8"/>
      <c r="F68" s="9"/>
    </row>
    <row r="69" spans="1:6" s="3" customFormat="1" ht="19.5" customHeight="1" thickBot="1">
      <c r="A69" s="20" t="s">
        <v>24</v>
      </c>
      <c r="B69" s="49">
        <f t="shared" si="0"/>
        <v>0</v>
      </c>
      <c r="C69" s="28"/>
      <c r="D69" s="27"/>
      <c r="E69" s="27"/>
      <c r="F69" s="29"/>
    </row>
    <row r="70" spans="1:6" s="4" customFormat="1" ht="27.75" customHeight="1">
      <c r="A70" s="71" t="s">
        <v>34</v>
      </c>
      <c r="B70" s="72">
        <f>C70+D70+E70+F70</f>
        <v>275.839</v>
      </c>
      <c r="C70" s="40"/>
      <c r="D70" s="40"/>
      <c r="E70" s="41">
        <v>275.839</v>
      </c>
      <c r="F70" s="42"/>
    </row>
    <row r="71" spans="1:6" s="4" customFormat="1" ht="27.75" customHeight="1">
      <c r="A71" s="39" t="s">
        <v>35</v>
      </c>
      <c r="B71" s="6">
        <f aca="true" t="shared" si="1" ref="B71:B79">C71+D71+E71+F71</f>
        <v>26.698</v>
      </c>
      <c r="C71" s="8"/>
      <c r="D71" s="8"/>
      <c r="E71" s="11">
        <v>26.698</v>
      </c>
      <c r="F71" s="9"/>
    </row>
    <row r="72" spans="1:6" s="4" customFormat="1" ht="27.75" customHeight="1">
      <c r="A72" s="39" t="s">
        <v>42</v>
      </c>
      <c r="B72" s="6">
        <f t="shared" si="1"/>
        <v>673.7950000000001</v>
      </c>
      <c r="C72" s="8"/>
      <c r="D72" s="8"/>
      <c r="E72" s="24">
        <v>616.335</v>
      </c>
      <c r="F72" s="25">
        <v>57.46</v>
      </c>
    </row>
    <row r="73" spans="1:6" s="4" customFormat="1" ht="39" customHeight="1">
      <c r="A73" s="48" t="s">
        <v>43</v>
      </c>
      <c r="B73" s="6">
        <f t="shared" si="1"/>
        <v>1644.6499999999999</v>
      </c>
      <c r="C73" s="75">
        <v>1632.3</v>
      </c>
      <c r="D73" s="75"/>
      <c r="E73" s="75"/>
      <c r="F73" s="76">
        <v>12.35</v>
      </c>
    </row>
    <row r="74" spans="1:6" s="4" customFormat="1" ht="27.75" customHeight="1">
      <c r="A74" s="39" t="s">
        <v>36</v>
      </c>
      <c r="B74" s="6">
        <f t="shared" si="1"/>
        <v>846.145</v>
      </c>
      <c r="C74" s="10">
        <v>546.918</v>
      </c>
      <c r="D74" s="10"/>
      <c r="E74" s="10">
        <v>236.998</v>
      </c>
      <c r="F74" s="17">
        <v>62.229</v>
      </c>
    </row>
    <row r="75" spans="1:6" s="4" customFormat="1" ht="27.75" customHeight="1">
      <c r="A75" s="39" t="s">
        <v>44</v>
      </c>
      <c r="B75" s="6">
        <f t="shared" si="1"/>
        <v>0</v>
      </c>
      <c r="C75" s="8"/>
      <c r="D75" s="8"/>
      <c r="E75" s="8"/>
      <c r="F75" s="9"/>
    </row>
    <row r="76" spans="1:6" s="4" customFormat="1" ht="27.75" customHeight="1">
      <c r="A76" s="48" t="s">
        <v>37</v>
      </c>
      <c r="B76" s="79">
        <f t="shared" si="1"/>
        <v>0</v>
      </c>
      <c r="C76" s="46"/>
      <c r="D76" s="46"/>
      <c r="E76" s="46"/>
      <c r="F76" s="47"/>
    </row>
    <row r="77" spans="1:6" s="4" customFormat="1" ht="36">
      <c r="A77" s="80" t="s">
        <v>38</v>
      </c>
      <c r="B77" s="79">
        <f t="shared" si="1"/>
        <v>0</v>
      </c>
      <c r="C77" s="46"/>
      <c r="D77" s="46"/>
      <c r="E77" s="46"/>
      <c r="F77" s="47"/>
    </row>
    <row r="78" spans="1:6" s="4" customFormat="1" ht="54.75" thickBot="1">
      <c r="A78" s="82" t="s">
        <v>39</v>
      </c>
      <c r="B78" s="83">
        <f t="shared" si="1"/>
        <v>0</v>
      </c>
      <c r="C78" s="84"/>
      <c r="D78" s="84"/>
      <c r="E78" s="84"/>
      <c r="F78" s="85"/>
    </row>
    <row r="79" spans="1:6" s="4" customFormat="1" ht="32.25" customHeight="1" thickBot="1">
      <c r="A79" s="38" t="s">
        <v>14</v>
      </c>
      <c r="B79" s="91">
        <f t="shared" si="1"/>
        <v>122044.033</v>
      </c>
      <c r="C79" s="92">
        <f>C5+C10+C15+C20+C25+C30+C35+C40+C45+C50+C55+C60+C65+C70+C70+C71+C72+C73+C74+C75+C76+C77+C78</f>
        <v>53056.49399999999</v>
      </c>
      <c r="D79" s="92">
        <f>D5+D10+D15+D20+D25+D30+D35+D40+D45+D50+D55+D60+D65+D70+D70+D71+D72+D73+D74+D75+D76+D77+D78</f>
        <v>1816.646</v>
      </c>
      <c r="E79" s="92">
        <f>E5+E10+E15+E20+E25+E30+E35+E40+E45+E50+E55+E60+E65+E70+E71+E72+E73+E74+E75+E76+E77+E78</f>
        <v>30926.417</v>
      </c>
      <c r="F79" s="92">
        <f>F5+F10+F15+F20+F25+F30+F35+F40+F45+F50+F55+F60+F65+F70+F70+F71+F72+F73+F74+F75+F76+F77+F78</f>
        <v>36244.475999999995</v>
      </c>
    </row>
    <row r="80" s="4" customFormat="1" ht="12.75"/>
    <row r="81" s="4" customFormat="1" ht="12.75"/>
    <row r="82" s="4" customFormat="1" ht="12.75"/>
    <row r="83" s="4" customFormat="1" ht="12.75"/>
    <row r="84" s="4" customFormat="1" ht="12.75"/>
    <row r="85" s="4" customFormat="1" ht="12.75"/>
    <row r="86" s="4" customFormat="1" ht="12.75"/>
    <row r="87" s="4" customFormat="1" ht="12.75"/>
    <row r="88" s="4" customFormat="1" ht="12.75"/>
    <row r="89" s="4" customFormat="1" ht="12.75"/>
    <row r="90" s="4" customFormat="1" ht="12.75"/>
    <row r="91" s="4" customFormat="1" ht="12.75"/>
  </sheetData>
  <mergeCells count="2">
    <mergeCell ref="A1:F1"/>
    <mergeCell ref="A2:F2"/>
  </mergeCells>
  <printOptions horizontalCentered="1"/>
  <pageMargins left="0.3937007874015748" right="0.3937007874015748" top="0.7874015748031497" bottom="0.3937007874015748" header="0.5118110236220472" footer="0.5118110236220472"/>
  <pageSetup fitToHeight="1" fitToWidth="1" horizontalDpi="600" verticalDpi="600" orientation="portrait" paperSize="9" scale="3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4"/>
  <sheetViews>
    <sheetView zoomScale="60" zoomScaleNormal="60" workbookViewId="0" topLeftCell="A34">
      <selection activeCell="D67" sqref="D67"/>
    </sheetView>
  </sheetViews>
  <sheetFormatPr defaultColWidth="9.00390625" defaultRowHeight="12.75"/>
  <cols>
    <col min="1" max="1" width="54.125" style="0" customWidth="1"/>
    <col min="2" max="2" width="19.75390625" style="0" customWidth="1"/>
    <col min="3" max="6" width="26.00390625" style="0" customWidth="1"/>
    <col min="7" max="7" width="18.875" style="0" customWidth="1"/>
    <col min="8" max="11" width="15.125" style="0" customWidth="1"/>
  </cols>
  <sheetData>
    <row r="1" spans="1:6" s="54" customFormat="1" ht="47.25" customHeight="1">
      <c r="A1" s="53" t="s">
        <v>45</v>
      </c>
      <c r="B1" s="53"/>
      <c r="C1" s="53"/>
      <c r="D1" s="53"/>
      <c r="E1" s="53"/>
      <c r="F1" s="53"/>
    </row>
    <row r="2" spans="1:6" s="57" customFormat="1" ht="23.25">
      <c r="A2" s="55" t="s">
        <v>49</v>
      </c>
      <c r="B2" s="55"/>
      <c r="C2" s="55"/>
      <c r="D2" s="56"/>
      <c r="E2" s="56"/>
      <c r="F2" s="56"/>
    </row>
    <row r="3" s="58" customFormat="1" ht="18.75" thickBot="1">
      <c r="F3" s="59" t="s">
        <v>46</v>
      </c>
    </row>
    <row r="4" spans="1:6" s="2" customFormat="1" ht="29.25" customHeight="1" thickBot="1">
      <c r="A4" s="61" t="s">
        <v>19</v>
      </c>
      <c r="B4" s="63"/>
      <c r="C4" s="63" t="s">
        <v>0</v>
      </c>
      <c r="D4" s="63" t="s">
        <v>1</v>
      </c>
      <c r="E4" s="63" t="s">
        <v>2</v>
      </c>
      <c r="F4" s="64" t="s">
        <v>3</v>
      </c>
    </row>
    <row r="5" spans="1:6" s="3" customFormat="1" ht="39.75" customHeight="1">
      <c r="A5" s="65" t="s">
        <v>7</v>
      </c>
      <c r="B5" s="66">
        <f aca="true" t="shared" si="0" ref="B5:B69">C5+D5+E5+F5</f>
        <v>87682.826</v>
      </c>
      <c r="C5" s="67">
        <f>C6+C7</f>
        <v>39230.456</v>
      </c>
      <c r="D5" s="67">
        <f>D6+D7</f>
        <v>1320.497</v>
      </c>
      <c r="E5" s="67">
        <f>E6+E7</f>
        <v>21861.684</v>
      </c>
      <c r="F5" s="68">
        <f>F6+F7</f>
        <v>25270.189</v>
      </c>
    </row>
    <row r="6" spans="1:6" s="3" customFormat="1" ht="27" customHeight="1">
      <c r="A6" s="34" t="s">
        <v>25</v>
      </c>
      <c r="B6" s="32">
        <f t="shared" si="0"/>
        <v>72424.631</v>
      </c>
      <c r="C6" s="8">
        <f>39230.456-C7</f>
        <v>38934.294</v>
      </c>
      <c r="D6" s="8">
        <f>1320.497-D7</f>
        <v>1319.287</v>
      </c>
      <c r="E6" s="8">
        <f>21861.684-E7</f>
        <v>21173.808</v>
      </c>
      <c r="F6" s="9">
        <f>25270.189-F7</f>
        <v>10997.241999999998</v>
      </c>
    </row>
    <row r="7" spans="1:6" s="3" customFormat="1" ht="20.25" customHeight="1">
      <c r="A7" s="34" t="s">
        <v>22</v>
      </c>
      <c r="B7" s="32">
        <f t="shared" si="0"/>
        <v>15258.195</v>
      </c>
      <c r="C7" s="15">
        <f>C8+C9</f>
        <v>296.162</v>
      </c>
      <c r="D7" s="15">
        <f>D8+D9</f>
        <v>1.21</v>
      </c>
      <c r="E7" s="15">
        <f>E8+E9</f>
        <v>687.876</v>
      </c>
      <c r="F7" s="16">
        <f>F8+F9</f>
        <v>14272.947</v>
      </c>
    </row>
    <row r="8" spans="1:6" s="3" customFormat="1" ht="21.75" customHeight="1">
      <c r="A8" s="34" t="s">
        <v>23</v>
      </c>
      <c r="B8" s="32">
        <f t="shared" si="0"/>
        <v>4519.348</v>
      </c>
      <c r="C8" s="11">
        <v>52.376</v>
      </c>
      <c r="D8" s="11"/>
      <c r="E8" s="11">
        <v>126.285</v>
      </c>
      <c r="F8" s="12">
        <v>4340.687</v>
      </c>
    </row>
    <row r="9" spans="1:6" s="3" customFormat="1" ht="24.75" customHeight="1">
      <c r="A9" s="34" t="s">
        <v>24</v>
      </c>
      <c r="B9" s="32">
        <f t="shared" si="0"/>
        <v>10738.847</v>
      </c>
      <c r="C9" s="11">
        <v>243.786</v>
      </c>
      <c r="D9" s="11">
        <v>1.21</v>
      </c>
      <c r="E9" s="11">
        <v>561.591</v>
      </c>
      <c r="F9" s="12">
        <v>9932.26</v>
      </c>
    </row>
    <row r="10" spans="1:7" s="3" customFormat="1" ht="42.75" customHeight="1">
      <c r="A10" s="69" t="s">
        <v>15</v>
      </c>
      <c r="B10" s="32">
        <f t="shared" si="0"/>
        <v>6238.081</v>
      </c>
      <c r="C10" s="15">
        <f>C11+C12</f>
        <v>885.18</v>
      </c>
      <c r="D10" s="15"/>
      <c r="E10" s="15">
        <f>E11+E12</f>
        <v>2427.8140000000003</v>
      </c>
      <c r="F10" s="16">
        <f>F11+F12</f>
        <v>2925.0869999999995</v>
      </c>
      <c r="G10" s="5"/>
    </row>
    <row r="11" spans="1:6" s="3" customFormat="1" ht="21.75" customHeight="1">
      <c r="A11" s="34" t="s">
        <v>25</v>
      </c>
      <c r="B11" s="32">
        <f t="shared" si="0"/>
        <v>4007.331</v>
      </c>
      <c r="C11" s="8">
        <v>787.112</v>
      </c>
      <c r="D11" s="8"/>
      <c r="E11" s="8">
        <v>2023.707</v>
      </c>
      <c r="F11" s="9">
        <v>1196.512</v>
      </c>
    </row>
    <row r="12" spans="1:6" s="3" customFormat="1" ht="19.5" customHeight="1">
      <c r="A12" s="34" t="s">
        <v>22</v>
      </c>
      <c r="B12" s="32">
        <f t="shared" si="0"/>
        <v>2230.75</v>
      </c>
      <c r="C12" s="15">
        <f>C13+C14</f>
        <v>98.068</v>
      </c>
      <c r="D12" s="8"/>
      <c r="E12" s="15">
        <f>E13+E14</f>
        <v>404.10699999999997</v>
      </c>
      <c r="F12" s="16">
        <f>F13+F14</f>
        <v>1728.5749999999998</v>
      </c>
    </row>
    <row r="13" spans="1:6" s="3" customFormat="1" ht="17.25" customHeight="1">
      <c r="A13" s="34" t="s">
        <v>23</v>
      </c>
      <c r="B13" s="32">
        <f t="shared" si="0"/>
        <v>1223.163</v>
      </c>
      <c r="C13" s="24"/>
      <c r="D13" s="24"/>
      <c r="E13" s="24">
        <v>61.227</v>
      </c>
      <c r="F13" s="25">
        <v>1161.936</v>
      </c>
    </row>
    <row r="14" spans="1:6" s="3" customFormat="1" ht="17.25" customHeight="1">
      <c r="A14" s="34" t="s">
        <v>24</v>
      </c>
      <c r="B14" s="32">
        <f t="shared" si="0"/>
        <v>1007.587</v>
      </c>
      <c r="C14" s="24">
        <v>98.068</v>
      </c>
      <c r="D14" s="24"/>
      <c r="E14" s="24">
        <v>342.88</v>
      </c>
      <c r="F14" s="25">
        <v>566.639</v>
      </c>
    </row>
    <row r="15" spans="1:6" s="3" customFormat="1" ht="47.25" customHeight="1">
      <c r="A15" s="69" t="s">
        <v>6</v>
      </c>
      <c r="B15" s="32">
        <f t="shared" si="0"/>
        <v>1435.7740000000001</v>
      </c>
      <c r="C15" s="15">
        <f>C16+C17</f>
        <v>1435.7740000000001</v>
      </c>
      <c r="D15" s="8"/>
      <c r="E15" s="8"/>
      <c r="F15" s="16">
        <f>F16+F17</f>
        <v>0</v>
      </c>
    </row>
    <row r="16" spans="1:6" s="3" customFormat="1" ht="19.5" customHeight="1">
      <c r="A16" s="34" t="s">
        <v>25</v>
      </c>
      <c r="B16" s="32">
        <f t="shared" si="0"/>
        <v>1435.438</v>
      </c>
      <c r="C16" s="8">
        <v>1435.438</v>
      </c>
      <c r="D16" s="8"/>
      <c r="E16" s="15"/>
      <c r="F16" s="16"/>
    </row>
    <row r="17" spans="1:6" s="3" customFormat="1" ht="18" customHeight="1">
      <c r="A17" s="34" t="s">
        <v>22</v>
      </c>
      <c r="B17" s="32">
        <f t="shared" si="0"/>
        <v>0.336</v>
      </c>
      <c r="C17" s="15">
        <f>C18+C19</f>
        <v>0.336</v>
      </c>
      <c r="D17" s="8"/>
      <c r="E17" s="15">
        <f>E18+E19</f>
        <v>0</v>
      </c>
      <c r="F17" s="16">
        <f>F18+F19</f>
        <v>0</v>
      </c>
    </row>
    <row r="18" spans="1:6" s="3" customFormat="1" ht="19.5" customHeight="1">
      <c r="A18" s="34" t="s">
        <v>23</v>
      </c>
      <c r="B18" s="32">
        <f t="shared" si="0"/>
        <v>0</v>
      </c>
      <c r="C18" s="21"/>
      <c r="D18" s="21"/>
      <c r="E18" s="21"/>
      <c r="F18" s="22"/>
    </row>
    <row r="19" spans="1:6" s="3" customFormat="1" ht="19.5" customHeight="1">
      <c r="A19" s="34" t="s">
        <v>24</v>
      </c>
      <c r="B19" s="32">
        <f t="shared" si="0"/>
        <v>0.336</v>
      </c>
      <c r="C19" s="24">
        <v>0.336</v>
      </c>
      <c r="D19" s="21"/>
      <c r="E19" s="21"/>
      <c r="F19" s="22"/>
    </row>
    <row r="20" spans="1:6" s="3" customFormat="1" ht="80.25" customHeight="1">
      <c r="A20" s="69" t="s">
        <v>8</v>
      </c>
      <c r="B20" s="32">
        <f t="shared" si="0"/>
        <v>684.015</v>
      </c>
      <c r="C20" s="15">
        <f>C21+C22</f>
        <v>9.678</v>
      </c>
      <c r="D20" s="15">
        <f>D21+D22</f>
        <v>576.954</v>
      </c>
      <c r="E20" s="15">
        <f>E21+E22</f>
        <v>16.111</v>
      </c>
      <c r="F20" s="16">
        <f>F21+F22</f>
        <v>81.272</v>
      </c>
    </row>
    <row r="21" spans="1:6" s="3" customFormat="1" ht="21.75" customHeight="1">
      <c r="A21" s="34" t="s">
        <v>25</v>
      </c>
      <c r="B21" s="32">
        <f t="shared" si="0"/>
        <v>662.4549999999999</v>
      </c>
      <c r="C21" s="8">
        <v>9.678</v>
      </c>
      <c r="D21" s="8">
        <v>576.954</v>
      </c>
      <c r="E21" s="8">
        <v>16.111</v>
      </c>
      <c r="F21" s="9">
        <v>59.712</v>
      </c>
    </row>
    <row r="22" spans="1:6" s="3" customFormat="1" ht="21" customHeight="1">
      <c r="A22" s="34" t="s">
        <v>22</v>
      </c>
      <c r="B22" s="32">
        <f t="shared" si="0"/>
        <v>21.56</v>
      </c>
      <c r="C22" s="15">
        <f>C23+C24</f>
        <v>0</v>
      </c>
      <c r="D22" s="8"/>
      <c r="E22" s="15">
        <f>E23+E24</f>
        <v>0</v>
      </c>
      <c r="F22" s="16">
        <f>F23+F24</f>
        <v>21.56</v>
      </c>
    </row>
    <row r="23" spans="1:6" s="3" customFormat="1" ht="21.75" customHeight="1">
      <c r="A23" s="34" t="s">
        <v>23</v>
      </c>
      <c r="B23" s="32">
        <f t="shared" si="0"/>
        <v>21.56</v>
      </c>
      <c r="C23" s="21"/>
      <c r="D23" s="21"/>
      <c r="E23" s="24"/>
      <c r="F23" s="25">
        <v>21.56</v>
      </c>
    </row>
    <row r="24" spans="1:6" s="3" customFormat="1" ht="21" customHeight="1">
      <c r="A24" s="34" t="s">
        <v>24</v>
      </c>
      <c r="B24" s="32">
        <f t="shared" si="0"/>
        <v>0</v>
      </c>
      <c r="C24" s="21"/>
      <c r="D24" s="21"/>
      <c r="E24" s="21"/>
      <c r="F24" s="22"/>
    </row>
    <row r="25" spans="1:6" s="3" customFormat="1" ht="51.75" customHeight="1">
      <c r="A25" s="69" t="s">
        <v>9</v>
      </c>
      <c r="B25" s="32">
        <f t="shared" si="0"/>
        <v>13161.523000000001</v>
      </c>
      <c r="C25" s="15">
        <f>C26+C27</f>
        <v>7003.983</v>
      </c>
      <c r="D25" s="15">
        <f>D26+D27</f>
        <v>0</v>
      </c>
      <c r="E25" s="15">
        <f>E26+E27</f>
        <v>2042.685</v>
      </c>
      <c r="F25" s="16">
        <f>F26+F27</f>
        <v>4114.8550000000005</v>
      </c>
    </row>
    <row r="26" spans="1:6" s="3" customFormat="1" ht="19.5" customHeight="1">
      <c r="A26" s="34" t="s">
        <v>25</v>
      </c>
      <c r="B26" s="32">
        <f t="shared" si="0"/>
        <v>10577.417</v>
      </c>
      <c r="C26" s="8">
        <v>7003.983</v>
      </c>
      <c r="D26" s="8"/>
      <c r="E26" s="8">
        <v>2042.685</v>
      </c>
      <c r="F26" s="9">
        <v>1530.749</v>
      </c>
    </row>
    <row r="27" spans="1:6" s="3" customFormat="1" ht="24.75" customHeight="1">
      <c r="A27" s="34" t="s">
        <v>22</v>
      </c>
      <c r="B27" s="32">
        <f t="shared" si="0"/>
        <v>2584.106</v>
      </c>
      <c r="C27" s="15">
        <f>C28+C29</f>
        <v>0</v>
      </c>
      <c r="D27" s="8"/>
      <c r="E27" s="15">
        <f>E28+E29</f>
        <v>0</v>
      </c>
      <c r="F27" s="16">
        <f>F28+F29</f>
        <v>2584.106</v>
      </c>
    </row>
    <row r="28" spans="1:6" s="3" customFormat="1" ht="25.5" customHeight="1">
      <c r="A28" s="34" t="s">
        <v>23</v>
      </c>
      <c r="B28" s="32">
        <f t="shared" si="0"/>
        <v>2556.606</v>
      </c>
      <c r="C28" s="21"/>
      <c r="D28" s="21"/>
      <c r="E28" s="24"/>
      <c r="F28" s="25">
        <f>2464.3+92.306</f>
        <v>2556.606</v>
      </c>
    </row>
    <row r="29" spans="1:6" s="3" customFormat="1" ht="20.25" customHeight="1">
      <c r="A29" s="34" t="s">
        <v>24</v>
      </c>
      <c r="B29" s="32">
        <f t="shared" si="0"/>
        <v>27.5</v>
      </c>
      <c r="C29" s="21"/>
      <c r="D29" s="21"/>
      <c r="E29" s="24"/>
      <c r="F29" s="25">
        <v>27.5</v>
      </c>
    </row>
    <row r="30" spans="1:6" s="3" customFormat="1" ht="52.5" customHeight="1">
      <c r="A30" s="69" t="s">
        <v>10</v>
      </c>
      <c r="B30" s="32">
        <f t="shared" si="0"/>
        <v>108.53</v>
      </c>
      <c r="C30" s="21"/>
      <c r="D30" s="21"/>
      <c r="E30" s="15">
        <f>E31+E32</f>
        <v>70.307</v>
      </c>
      <c r="F30" s="16">
        <f>F31+F32</f>
        <v>38.223</v>
      </c>
    </row>
    <row r="31" spans="1:11" s="3" customFormat="1" ht="22.5" customHeight="1">
      <c r="A31" s="34" t="s">
        <v>25</v>
      </c>
      <c r="B31" s="32">
        <f t="shared" si="0"/>
        <v>81.185</v>
      </c>
      <c r="C31" s="8"/>
      <c r="D31" s="8"/>
      <c r="E31" s="8">
        <v>70.307</v>
      </c>
      <c r="F31" s="9">
        <v>10.878</v>
      </c>
      <c r="H31" s="1"/>
      <c r="I31" s="1"/>
      <c r="J31" s="1"/>
      <c r="K31" s="1"/>
    </row>
    <row r="32" spans="1:6" s="3" customFormat="1" ht="24.75" customHeight="1">
      <c r="A32" s="34" t="s">
        <v>22</v>
      </c>
      <c r="B32" s="32">
        <f t="shared" si="0"/>
        <v>27.345</v>
      </c>
      <c r="C32" s="8"/>
      <c r="D32" s="8"/>
      <c r="E32" s="15">
        <f>E33+E34</f>
        <v>0</v>
      </c>
      <c r="F32" s="16">
        <f>F33+F34</f>
        <v>27.345</v>
      </c>
    </row>
    <row r="33" spans="1:6" s="3" customFormat="1" ht="18" customHeight="1">
      <c r="A33" s="34" t="s">
        <v>23</v>
      </c>
      <c r="B33" s="32">
        <f t="shared" si="0"/>
        <v>22.54</v>
      </c>
      <c r="C33" s="21"/>
      <c r="D33" s="21"/>
      <c r="E33" s="21"/>
      <c r="F33" s="25">
        <v>22.54</v>
      </c>
    </row>
    <row r="34" spans="1:6" s="3" customFormat="1" ht="18" customHeight="1">
      <c r="A34" s="34" t="s">
        <v>24</v>
      </c>
      <c r="B34" s="32">
        <f t="shared" si="0"/>
        <v>4.805</v>
      </c>
      <c r="C34" s="21"/>
      <c r="D34" s="21"/>
      <c r="E34" s="21"/>
      <c r="F34" s="25">
        <v>4.805</v>
      </c>
    </row>
    <row r="35" spans="1:6" s="3" customFormat="1" ht="25.5" customHeight="1">
      <c r="A35" s="69" t="s">
        <v>40</v>
      </c>
      <c r="B35" s="32">
        <f aca="true" t="shared" si="1" ref="B35:B44">C35+D35+E35+F35</f>
        <v>0</v>
      </c>
      <c r="C35" s="21"/>
      <c r="D35" s="21"/>
      <c r="E35" s="15">
        <f>E36+E37</f>
        <v>0</v>
      </c>
      <c r="F35" s="16">
        <f>F36+F37</f>
        <v>0</v>
      </c>
    </row>
    <row r="36" spans="1:6" s="3" customFormat="1" ht="23.25" customHeight="1">
      <c r="A36" s="34" t="s">
        <v>25</v>
      </c>
      <c r="B36" s="32">
        <f t="shared" si="1"/>
        <v>0</v>
      </c>
      <c r="C36" s="8"/>
      <c r="D36" s="8"/>
      <c r="E36" s="8"/>
      <c r="F36" s="9"/>
    </row>
    <row r="37" spans="1:6" s="3" customFormat="1" ht="23.25" customHeight="1">
      <c r="A37" s="34" t="s">
        <v>22</v>
      </c>
      <c r="B37" s="32">
        <f t="shared" si="1"/>
        <v>0</v>
      </c>
      <c r="C37" s="8"/>
      <c r="D37" s="8"/>
      <c r="E37" s="15">
        <f>E38+E39</f>
        <v>0</v>
      </c>
      <c r="F37" s="16">
        <f>F38+F39</f>
        <v>0</v>
      </c>
    </row>
    <row r="38" spans="1:6" s="3" customFormat="1" ht="23.25" customHeight="1">
      <c r="A38" s="34" t="s">
        <v>23</v>
      </c>
      <c r="B38" s="32">
        <f t="shared" si="1"/>
        <v>0</v>
      </c>
      <c r="C38" s="21"/>
      <c r="D38" s="21"/>
      <c r="E38" s="21"/>
      <c r="F38" s="25"/>
    </row>
    <row r="39" spans="1:6" s="3" customFormat="1" ht="23.25" customHeight="1">
      <c r="A39" s="34" t="s">
        <v>24</v>
      </c>
      <c r="B39" s="32">
        <f t="shared" si="1"/>
        <v>0</v>
      </c>
      <c r="C39" s="21"/>
      <c r="D39" s="21"/>
      <c r="E39" s="21"/>
      <c r="F39" s="25"/>
    </row>
    <row r="40" spans="1:7" s="3" customFormat="1" ht="42" customHeight="1">
      <c r="A40" s="69" t="s">
        <v>41</v>
      </c>
      <c r="B40" s="32">
        <f t="shared" si="1"/>
        <v>0</v>
      </c>
      <c r="C40" s="21"/>
      <c r="D40" s="21"/>
      <c r="E40" s="15">
        <f>E41+E42</f>
        <v>0</v>
      </c>
      <c r="F40" s="16">
        <f>F41+F42</f>
        <v>0</v>
      </c>
      <c r="G40" s="7"/>
    </row>
    <row r="41" spans="1:6" s="3" customFormat="1" ht="19.5" customHeight="1">
      <c r="A41" s="34" t="s">
        <v>25</v>
      </c>
      <c r="B41" s="32">
        <f t="shared" si="1"/>
        <v>0</v>
      </c>
      <c r="C41" s="8"/>
      <c r="D41" s="8"/>
      <c r="E41" s="8"/>
      <c r="F41" s="9"/>
    </row>
    <row r="42" spans="1:6" s="3" customFormat="1" ht="19.5" customHeight="1">
      <c r="A42" s="34" t="s">
        <v>22</v>
      </c>
      <c r="B42" s="32">
        <f t="shared" si="1"/>
        <v>0</v>
      </c>
      <c r="C42" s="8"/>
      <c r="D42" s="8"/>
      <c r="E42" s="15">
        <f>E43+E44</f>
        <v>0</v>
      </c>
      <c r="F42" s="16">
        <f>F43+F44</f>
        <v>0</v>
      </c>
    </row>
    <row r="43" spans="1:6" s="3" customFormat="1" ht="19.5" customHeight="1">
      <c r="A43" s="34" t="s">
        <v>23</v>
      </c>
      <c r="B43" s="32">
        <f t="shared" si="1"/>
        <v>0</v>
      </c>
      <c r="C43" s="21"/>
      <c r="D43" s="21"/>
      <c r="E43" s="21"/>
      <c r="F43" s="25"/>
    </row>
    <row r="44" spans="1:6" s="3" customFormat="1" ht="19.5" customHeight="1">
      <c r="A44" s="34" t="s">
        <v>24</v>
      </c>
      <c r="B44" s="32">
        <f t="shared" si="1"/>
        <v>0</v>
      </c>
      <c r="C44" s="21"/>
      <c r="D44" s="21"/>
      <c r="E44" s="21"/>
      <c r="F44" s="25"/>
    </row>
    <row r="45" spans="1:6" s="3" customFormat="1" ht="24.75" customHeight="1">
      <c r="A45" s="69" t="s">
        <v>11</v>
      </c>
      <c r="B45" s="32">
        <f t="shared" si="0"/>
        <v>2609.621</v>
      </c>
      <c r="C45" s="8"/>
      <c r="D45" s="8"/>
      <c r="E45" s="15">
        <f>E46+E47</f>
        <v>1970.322</v>
      </c>
      <c r="F45" s="16">
        <f>F46+F47</f>
        <v>639.299</v>
      </c>
    </row>
    <row r="46" spans="1:6" s="3" customFormat="1" ht="24.75" customHeight="1">
      <c r="A46" s="34" t="s">
        <v>25</v>
      </c>
      <c r="B46" s="32">
        <f t="shared" si="0"/>
        <v>2140.562</v>
      </c>
      <c r="C46" s="8"/>
      <c r="D46" s="8"/>
      <c r="E46" s="8">
        <v>1948.512</v>
      </c>
      <c r="F46" s="9">
        <v>192.05</v>
      </c>
    </row>
    <row r="47" spans="1:6" s="3" customFormat="1" ht="24.75" customHeight="1">
      <c r="A47" s="34" t="s">
        <v>22</v>
      </c>
      <c r="B47" s="32">
        <f t="shared" si="0"/>
        <v>469.05899999999997</v>
      </c>
      <c r="C47" s="8"/>
      <c r="D47" s="8"/>
      <c r="E47" s="15">
        <f>E48+E49</f>
        <v>21.810000000000002</v>
      </c>
      <c r="F47" s="16">
        <f>F48+F49</f>
        <v>447.24899999999997</v>
      </c>
    </row>
    <row r="48" spans="1:6" s="3" customFormat="1" ht="24.75" customHeight="1">
      <c r="A48" s="34" t="s">
        <v>23</v>
      </c>
      <c r="B48" s="32">
        <f t="shared" si="0"/>
        <v>374.94499999999994</v>
      </c>
      <c r="C48" s="8"/>
      <c r="D48" s="8"/>
      <c r="E48" s="24">
        <v>20.64</v>
      </c>
      <c r="F48" s="25">
        <f>327.585+26.72</f>
        <v>354.30499999999995</v>
      </c>
    </row>
    <row r="49" spans="1:6" s="3" customFormat="1" ht="24.75" customHeight="1">
      <c r="A49" s="34" t="s">
        <v>24</v>
      </c>
      <c r="B49" s="32">
        <f t="shared" si="0"/>
        <v>94.114</v>
      </c>
      <c r="C49" s="8"/>
      <c r="D49" s="8"/>
      <c r="E49" s="24">
        <v>1.17</v>
      </c>
      <c r="F49" s="25">
        <v>92.944</v>
      </c>
    </row>
    <row r="50" spans="1:6" s="3" customFormat="1" ht="24.75" customHeight="1">
      <c r="A50" s="69" t="s">
        <v>5</v>
      </c>
      <c r="B50" s="32">
        <f t="shared" si="0"/>
        <v>2247.6090000000004</v>
      </c>
      <c r="C50" s="15">
        <f>C51+C52</f>
        <v>373.406</v>
      </c>
      <c r="D50" s="21"/>
      <c r="E50" s="15">
        <f>E51+E52</f>
        <v>998.1550000000001</v>
      </c>
      <c r="F50" s="16">
        <f>F51+F52</f>
        <v>876.048</v>
      </c>
    </row>
    <row r="51" spans="1:6" s="3" customFormat="1" ht="24.75" customHeight="1">
      <c r="A51" s="34" t="s">
        <v>25</v>
      </c>
      <c r="B51" s="32">
        <f t="shared" si="0"/>
        <v>1191.178</v>
      </c>
      <c r="C51" s="15">
        <v>373.406</v>
      </c>
      <c r="D51" s="15"/>
      <c r="E51" s="8">
        <v>421.148</v>
      </c>
      <c r="F51" s="9">
        <v>396.624</v>
      </c>
    </row>
    <row r="52" spans="1:6" s="3" customFormat="1" ht="24.75" customHeight="1">
      <c r="A52" s="34" t="s">
        <v>22</v>
      </c>
      <c r="B52" s="32">
        <f t="shared" si="0"/>
        <v>1056.431</v>
      </c>
      <c r="C52" s="8"/>
      <c r="D52" s="8"/>
      <c r="E52" s="15">
        <f>E53+E54</f>
        <v>577.0070000000001</v>
      </c>
      <c r="F52" s="16">
        <f>F53+F54</f>
        <v>479.424</v>
      </c>
    </row>
    <row r="53" spans="1:6" s="3" customFormat="1" ht="24.75" customHeight="1">
      <c r="A53" s="34" t="s">
        <v>23</v>
      </c>
      <c r="B53" s="32">
        <f t="shared" si="0"/>
        <v>1052.591</v>
      </c>
      <c r="C53" s="21"/>
      <c r="D53" s="21"/>
      <c r="E53" s="24">
        <f>517.355+55.812</f>
        <v>573.167</v>
      </c>
      <c r="F53" s="25">
        <f>467.292+12.132</f>
        <v>479.424</v>
      </c>
    </row>
    <row r="54" spans="1:6" s="3" customFormat="1" ht="24.75" customHeight="1">
      <c r="A54" s="34" t="s">
        <v>24</v>
      </c>
      <c r="B54" s="32">
        <f t="shared" si="0"/>
        <v>3.84</v>
      </c>
      <c r="C54" s="21"/>
      <c r="D54" s="21"/>
      <c r="E54" s="15">
        <v>3.84</v>
      </c>
      <c r="F54" s="22"/>
    </row>
    <row r="55" spans="1:6" s="3" customFormat="1" ht="54.75" customHeight="1">
      <c r="A55" s="69" t="s">
        <v>12</v>
      </c>
      <c r="B55" s="32">
        <f t="shared" si="0"/>
        <v>6303.419</v>
      </c>
      <c r="C55" s="8"/>
      <c r="D55" s="8"/>
      <c r="E55" s="15">
        <f>E56+E57</f>
        <v>1605.799</v>
      </c>
      <c r="F55" s="16">
        <f>F56+F57</f>
        <v>4697.62</v>
      </c>
    </row>
    <row r="56" spans="1:6" s="3" customFormat="1" ht="26.25" customHeight="1">
      <c r="A56" s="34" t="s">
        <v>25</v>
      </c>
      <c r="B56" s="32">
        <f t="shared" si="0"/>
        <v>3215.429</v>
      </c>
      <c r="C56" s="8"/>
      <c r="D56" s="8"/>
      <c r="E56" s="15">
        <v>1406.535</v>
      </c>
      <c r="F56" s="16">
        <v>1808.894</v>
      </c>
    </row>
    <row r="57" spans="1:6" s="3" customFormat="1" ht="26.25" customHeight="1">
      <c r="A57" s="34" t="s">
        <v>22</v>
      </c>
      <c r="B57" s="32">
        <f t="shared" si="0"/>
        <v>3087.9900000000002</v>
      </c>
      <c r="C57" s="8"/>
      <c r="D57" s="8"/>
      <c r="E57" s="15">
        <f>E58+E59</f>
        <v>199.264</v>
      </c>
      <c r="F57" s="16">
        <f>F58+F59</f>
        <v>2888.726</v>
      </c>
    </row>
    <row r="58" spans="1:6" s="3" customFormat="1" ht="26.25" customHeight="1">
      <c r="A58" s="34" t="s">
        <v>23</v>
      </c>
      <c r="B58" s="32">
        <f t="shared" si="0"/>
        <v>719.329</v>
      </c>
      <c r="C58" s="8"/>
      <c r="D58" s="8"/>
      <c r="E58" s="24">
        <v>38.291</v>
      </c>
      <c r="F58" s="25">
        <v>681.038</v>
      </c>
    </row>
    <row r="59" spans="1:6" s="3" customFormat="1" ht="26.25" customHeight="1">
      <c r="A59" s="34" t="s">
        <v>24</v>
      </c>
      <c r="B59" s="32">
        <f t="shared" si="0"/>
        <v>2368.661</v>
      </c>
      <c r="C59" s="8"/>
      <c r="D59" s="8"/>
      <c r="E59" s="24">
        <v>160.973</v>
      </c>
      <c r="F59" s="25">
        <v>2207.688</v>
      </c>
    </row>
    <row r="60" spans="1:6" s="3" customFormat="1" ht="24.75" customHeight="1">
      <c r="A60" s="70" t="s">
        <v>13</v>
      </c>
      <c r="B60" s="32">
        <f t="shared" si="0"/>
        <v>153.404</v>
      </c>
      <c r="C60" s="8"/>
      <c r="D60" s="8"/>
      <c r="E60" s="8">
        <f>E61+E62</f>
        <v>73.8</v>
      </c>
      <c r="F60" s="9">
        <f>F61+F62</f>
        <v>79.604</v>
      </c>
    </row>
    <row r="61" spans="1:6" s="3" customFormat="1" ht="26.25" customHeight="1">
      <c r="A61" s="34" t="s">
        <v>25</v>
      </c>
      <c r="B61" s="32">
        <f t="shared" si="0"/>
        <v>153.404</v>
      </c>
      <c r="C61" s="8"/>
      <c r="D61" s="8"/>
      <c r="E61" s="15">
        <v>73.8</v>
      </c>
      <c r="F61" s="16">
        <v>79.604</v>
      </c>
    </row>
    <row r="62" spans="1:6" s="3" customFormat="1" ht="26.25" customHeight="1">
      <c r="A62" s="34" t="s">
        <v>22</v>
      </c>
      <c r="B62" s="32">
        <f t="shared" si="0"/>
        <v>0</v>
      </c>
      <c r="C62" s="8"/>
      <c r="D62" s="8"/>
      <c r="E62" s="15">
        <f>E63+E64</f>
        <v>0</v>
      </c>
      <c r="F62" s="16">
        <f>F63+F64</f>
        <v>0</v>
      </c>
    </row>
    <row r="63" spans="1:6" s="3" customFormat="1" ht="26.25" customHeight="1">
      <c r="A63" s="34" t="s">
        <v>23</v>
      </c>
      <c r="B63" s="32">
        <f t="shared" si="0"/>
        <v>0</v>
      </c>
      <c r="C63" s="8"/>
      <c r="D63" s="8"/>
      <c r="E63" s="8"/>
      <c r="F63" s="9"/>
    </row>
    <row r="64" spans="1:6" s="3" customFormat="1" ht="26.25" customHeight="1">
      <c r="A64" s="34" t="s">
        <v>24</v>
      </c>
      <c r="B64" s="32">
        <f t="shared" si="0"/>
        <v>0</v>
      </c>
      <c r="C64" s="8"/>
      <c r="D64" s="8"/>
      <c r="E64" s="8"/>
      <c r="F64" s="9"/>
    </row>
    <row r="65" spans="1:6" s="3" customFormat="1" ht="24.75" customHeight="1">
      <c r="A65" s="70" t="s">
        <v>4</v>
      </c>
      <c r="B65" s="32">
        <f t="shared" si="0"/>
        <v>845.408</v>
      </c>
      <c r="C65" s="8">
        <f>C66+C67</f>
        <v>845.408</v>
      </c>
      <c r="D65" s="8"/>
      <c r="E65" s="8"/>
      <c r="F65" s="9"/>
    </row>
    <row r="66" spans="1:6" s="3" customFormat="1" ht="21.75" customHeight="1">
      <c r="A66" s="34" t="s">
        <v>25</v>
      </c>
      <c r="B66" s="32">
        <f t="shared" si="0"/>
        <v>845.408</v>
      </c>
      <c r="C66" s="15">
        <v>845.408</v>
      </c>
      <c r="D66" s="8"/>
      <c r="E66" s="15"/>
      <c r="F66" s="16"/>
    </row>
    <row r="67" spans="1:6" s="3" customFormat="1" ht="18" customHeight="1">
      <c r="A67" s="34" t="s">
        <v>22</v>
      </c>
      <c r="B67" s="32">
        <f t="shared" si="0"/>
        <v>0</v>
      </c>
      <c r="C67" s="15">
        <f>C68+C69</f>
        <v>0</v>
      </c>
      <c r="D67" s="8"/>
      <c r="E67" s="15">
        <f>E68+E69</f>
        <v>0</v>
      </c>
      <c r="F67" s="16">
        <f>F68+F69</f>
        <v>0</v>
      </c>
    </row>
    <row r="68" spans="1:6" s="3" customFormat="1" ht="19.5" customHeight="1">
      <c r="A68" s="34" t="s">
        <v>23</v>
      </c>
      <c r="B68" s="32">
        <f t="shared" si="0"/>
        <v>0</v>
      </c>
      <c r="C68" s="21"/>
      <c r="D68" s="8"/>
      <c r="E68" s="8"/>
      <c r="F68" s="9"/>
    </row>
    <row r="69" spans="1:6" s="3" customFormat="1" ht="19.5" customHeight="1" thickBot="1">
      <c r="A69" s="35" t="s">
        <v>24</v>
      </c>
      <c r="B69" s="37">
        <f t="shared" si="0"/>
        <v>0</v>
      </c>
      <c r="C69" s="28"/>
      <c r="D69" s="27"/>
      <c r="E69" s="27"/>
      <c r="F69" s="29"/>
    </row>
    <row r="70" spans="1:6" s="97" customFormat="1" ht="28.5" customHeight="1">
      <c r="A70" s="93" t="s">
        <v>34</v>
      </c>
      <c r="B70" s="94">
        <f>C70+D70+E70+F70</f>
        <v>261.904</v>
      </c>
      <c r="C70" s="95"/>
      <c r="D70" s="95"/>
      <c r="E70" s="95">
        <v>261.904</v>
      </c>
      <c r="F70" s="96"/>
    </row>
    <row r="71" spans="1:6" s="97" customFormat="1" ht="28.5" customHeight="1">
      <c r="A71" s="48" t="s">
        <v>35</v>
      </c>
      <c r="B71" s="79">
        <f aca="true" t="shared" si="2" ref="B71:B79">C71+D71+E71+F71</f>
        <v>26.533</v>
      </c>
      <c r="C71" s="46"/>
      <c r="D71" s="46"/>
      <c r="E71" s="46">
        <v>26.533</v>
      </c>
      <c r="F71" s="47"/>
    </row>
    <row r="72" spans="1:6" s="97" customFormat="1" ht="28.5" customHeight="1">
      <c r="A72" s="48" t="s">
        <v>42</v>
      </c>
      <c r="B72" s="79">
        <f t="shared" si="2"/>
        <v>685.242</v>
      </c>
      <c r="C72" s="46"/>
      <c r="D72" s="46"/>
      <c r="E72" s="46">
        <v>622.067</v>
      </c>
      <c r="F72" s="47">
        <v>63.175</v>
      </c>
    </row>
    <row r="73" spans="1:6" s="97" customFormat="1" ht="28.5" customHeight="1">
      <c r="A73" s="48" t="s">
        <v>43</v>
      </c>
      <c r="B73" s="79">
        <f t="shared" si="2"/>
        <v>1571.92</v>
      </c>
      <c r="C73" s="46">
        <v>1558.9</v>
      </c>
      <c r="D73" s="46"/>
      <c r="E73" s="46"/>
      <c r="F73" s="47">
        <v>13.02</v>
      </c>
    </row>
    <row r="74" spans="1:6" s="97" customFormat="1" ht="28.5" customHeight="1">
      <c r="A74" s="48" t="s">
        <v>36</v>
      </c>
      <c r="B74" s="79">
        <f t="shared" si="2"/>
        <v>735.405</v>
      </c>
      <c r="C74" s="46">
        <v>422.732</v>
      </c>
      <c r="D74" s="46"/>
      <c r="E74" s="46">
        <v>237.066</v>
      </c>
      <c r="F74" s="47">
        <v>75.607</v>
      </c>
    </row>
    <row r="75" spans="1:6" s="97" customFormat="1" ht="28.5" customHeight="1">
      <c r="A75" s="48" t="s">
        <v>44</v>
      </c>
      <c r="B75" s="79">
        <f t="shared" si="2"/>
        <v>0</v>
      </c>
      <c r="C75" s="46"/>
      <c r="D75" s="46"/>
      <c r="E75" s="46"/>
      <c r="F75" s="47"/>
    </row>
    <row r="76" spans="1:6" s="97" customFormat="1" ht="36" customHeight="1">
      <c r="A76" s="48" t="s">
        <v>37</v>
      </c>
      <c r="B76" s="79">
        <f t="shared" si="2"/>
        <v>0</v>
      </c>
      <c r="C76" s="46"/>
      <c r="D76" s="46"/>
      <c r="E76" s="46"/>
      <c r="F76" s="47"/>
    </row>
    <row r="77" spans="1:6" s="97" customFormat="1" ht="39.75" customHeight="1">
      <c r="A77" s="80" t="s">
        <v>38</v>
      </c>
      <c r="B77" s="79">
        <f t="shared" si="2"/>
        <v>0</v>
      </c>
      <c r="C77" s="46"/>
      <c r="D77" s="46"/>
      <c r="E77" s="46"/>
      <c r="F77" s="47"/>
    </row>
    <row r="78" spans="1:6" s="97" customFormat="1" ht="41.25" customHeight="1" thickBot="1">
      <c r="A78" s="103" t="s">
        <v>39</v>
      </c>
      <c r="B78" s="98">
        <f t="shared" si="2"/>
        <v>0</v>
      </c>
      <c r="C78" s="99"/>
      <c r="D78" s="99"/>
      <c r="E78" s="99"/>
      <c r="F78" s="100"/>
    </row>
    <row r="79" spans="1:6" s="81" customFormat="1" ht="28.5" customHeight="1" thickBot="1">
      <c r="A79" s="38" t="s">
        <v>14</v>
      </c>
      <c r="B79" s="91">
        <f t="shared" si="2"/>
        <v>124751.214</v>
      </c>
      <c r="C79" s="92">
        <f>C5+C10+C15+C20+C25+C30+C35+C40+C45+C50+C55+C60+C65+C70+C70+C71+C72+C73+C74+C75+C76+C77+C78</f>
        <v>51765.51700000001</v>
      </c>
      <c r="D79" s="92">
        <f>D5+D10+D15+D20+D25+D30+D35+D40+D45+D50+D55+D60+D65+D70+D70+D71+D72+D73+D74+D75+D76+D77+D78</f>
        <v>1897.451</v>
      </c>
      <c r="E79" s="92">
        <f>E5+E10+E15+E20+E25+E30+E35+E40+E45+E50+E55+E60+E65+E70+E71+E72+E73+E74+E75+E76+E77+E78</f>
        <v>32214.246999999996</v>
      </c>
      <c r="F79" s="92">
        <f>F5+F10+F15+F20+F25+F30+F35+F40+F45+F50+F55+F60+F65+F70+F70+F71+F72+F73+F74+F75+F76+F77+F78</f>
        <v>38873.99900000001</v>
      </c>
    </row>
    <row r="80" spans="1:6" s="4" customFormat="1" ht="15">
      <c r="A80" s="101"/>
      <c r="B80" s="101"/>
      <c r="C80" s="101"/>
      <c r="D80" s="101"/>
      <c r="E80" s="101"/>
      <c r="F80" s="101"/>
    </row>
    <row r="81" spans="1:6" s="4" customFormat="1" ht="12.75">
      <c r="A81" s="102"/>
      <c r="B81" s="102"/>
      <c r="C81" s="102"/>
      <c r="D81" s="102"/>
      <c r="E81" s="102"/>
      <c r="F81" s="102"/>
    </row>
    <row r="82" spans="1:6" s="4" customFormat="1" ht="12.75">
      <c r="A82" s="102"/>
      <c r="B82" s="102"/>
      <c r="C82" s="102"/>
      <c r="D82" s="102"/>
      <c r="E82" s="102"/>
      <c r="F82" s="102"/>
    </row>
    <row r="83" spans="1:6" s="4" customFormat="1" ht="12.75">
      <c r="A83" s="102"/>
      <c r="B83" s="102"/>
      <c r="C83" s="102"/>
      <c r="D83" s="102"/>
      <c r="E83" s="102"/>
      <c r="F83" s="102"/>
    </row>
    <row r="84" spans="1:6" s="4" customFormat="1" ht="12.75">
      <c r="A84" s="102"/>
      <c r="B84" s="102"/>
      <c r="C84" s="102"/>
      <c r="D84" s="102"/>
      <c r="E84" s="102"/>
      <c r="F84" s="102"/>
    </row>
    <row r="85" s="4" customFormat="1" ht="12.75"/>
    <row r="86" s="4" customFormat="1" ht="12.75"/>
    <row r="87" s="4" customFormat="1" ht="12.75"/>
    <row r="88" s="4" customFormat="1" ht="12.75"/>
    <row r="89" s="4" customFormat="1" ht="12.75"/>
    <row r="90" s="4" customFormat="1" ht="12.75"/>
    <row r="91" s="4" customFormat="1" ht="12.75"/>
    <row r="92" s="4" customFormat="1" ht="12.75"/>
    <row r="93" s="4" customFormat="1" ht="12.75"/>
    <row r="94" s="4" customFormat="1" ht="12.75"/>
    <row r="95" s="4" customFormat="1" ht="12.75"/>
    <row r="96" s="4" customFormat="1" ht="12.75"/>
    <row r="97" s="4" customFormat="1" ht="12.75"/>
    <row r="98" s="4" customFormat="1" ht="12.75"/>
    <row r="99" s="4" customFormat="1" ht="12.75"/>
    <row r="100" s="4" customFormat="1" ht="12.75"/>
    <row r="101" s="4" customFormat="1" ht="12.75"/>
    <row r="102" s="4" customFormat="1" ht="12.75"/>
    <row r="103" s="4" customFormat="1" ht="12.75"/>
    <row r="104" s="4" customFormat="1" ht="12.75"/>
    <row r="105" s="4" customFormat="1" ht="12.75"/>
    <row r="106" s="4" customFormat="1" ht="12.75"/>
    <row r="107" s="4" customFormat="1" ht="12.75"/>
    <row r="108" s="4" customFormat="1" ht="12.75"/>
    <row r="109" s="4" customFormat="1" ht="12.75"/>
    <row r="110" s="4" customFormat="1" ht="12.75"/>
    <row r="111" s="4" customFormat="1" ht="12.75"/>
    <row r="112" s="4" customFormat="1" ht="12.75"/>
    <row r="113" s="4" customFormat="1" ht="12.75"/>
    <row r="114" s="4" customFormat="1" ht="12.75"/>
    <row r="115" s="4" customFormat="1" ht="12.75"/>
    <row r="116" s="4" customFormat="1" ht="12.75"/>
    <row r="117" s="4" customFormat="1" ht="12.75"/>
    <row r="118" s="4" customFormat="1" ht="12.75"/>
    <row r="119" s="4" customFormat="1" ht="12.75"/>
    <row r="120" s="4" customFormat="1" ht="12.75"/>
    <row r="121" s="4" customFormat="1" ht="12.75"/>
    <row r="122" s="4" customFormat="1" ht="12.75"/>
    <row r="123" s="4" customFormat="1" ht="12.75"/>
    <row r="124" s="4" customFormat="1" ht="12.75"/>
    <row r="125" s="4" customFormat="1" ht="12.75"/>
    <row r="126" s="4" customFormat="1" ht="12.75"/>
    <row r="127" s="4" customFormat="1" ht="12.75"/>
    <row r="128" s="4" customFormat="1" ht="12.75"/>
    <row r="129" s="4" customFormat="1" ht="12.75"/>
    <row r="130" s="4" customFormat="1" ht="12.75"/>
    <row r="131" s="4" customFormat="1" ht="12.75"/>
    <row r="132" s="4" customFormat="1" ht="12.75"/>
    <row r="133" s="4" customFormat="1" ht="12.75"/>
    <row r="134" s="4" customFormat="1" ht="12.75"/>
    <row r="135" s="4" customFormat="1" ht="12.75"/>
    <row r="136" s="4" customFormat="1" ht="12.75"/>
    <row r="137" s="4" customFormat="1" ht="12.75"/>
    <row r="138" s="4" customFormat="1" ht="12.75"/>
    <row r="139" s="4" customFormat="1" ht="12.75"/>
    <row r="140" s="4" customFormat="1" ht="12.75"/>
    <row r="141" s="4" customFormat="1" ht="12.75"/>
    <row r="142" s="4" customFormat="1" ht="12.75"/>
    <row r="143" s="4" customFormat="1" ht="12.75"/>
    <row r="144" s="4" customFormat="1" ht="12.75"/>
    <row r="145" s="4" customFormat="1" ht="12.75"/>
    <row r="146" s="4" customFormat="1" ht="12.75"/>
    <row r="147" s="4" customFormat="1" ht="12.75"/>
    <row r="148" s="4" customFormat="1" ht="12.75"/>
    <row r="149" s="4" customFormat="1" ht="12.75"/>
    <row r="150" s="4" customFormat="1" ht="12.75"/>
    <row r="151" s="4" customFormat="1" ht="12.75"/>
    <row r="152" s="4" customFormat="1" ht="12.75"/>
    <row r="153" s="4" customFormat="1" ht="12.75"/>
    <row r="154" s="4" customFormat="1" ht="12.75"/>
    <row r="155" s="4" customFormat="1" ht="12.75"/>
    <row r="156" s="4" customFormat="1" ht="12.75"/>
    <row r="157" s="4" customFormat="1" ht="12.75"/>
    <row r="158" s="4" customFormat="1" ht="12.75"/>
    <row r="159" s="4" customFormat="1" ht="12.75"/>
    <row r="160" s="4" customFormat="1" ht="12.75"/>
    <row r="161" s="4" customFormat="1" ht="12.75"/>
    <row r="162" s="4" customFormat="1" ht="12.75"/>
    <row r="163" s="4" customFormat="1" ht="12.75"/>
    <row r="164" s="4" customFormat="1" ht="12.75"/>
    <row r="165" s="4" customFormat="1" ht="12.75"/>
    <row r="166" s="4" customFormat="1" ht="12.75"/>
    <row r="167" s="4" customFormat="1" ht="12.75"/>
    <row r="168" s="4" customFormat="1" ht="12.75"/>
    <row r="169" s="4" customFormat="1" ht="12.75"/>
    <row r="170" s="4" customFormat="1" ht="12.75"/>
    <row r="171" s="4" customFormat="1" ht="12.75"/>
    <row r="172" s="4" customFormat="1" ht="12.75"/>
    <row r="173" s="4" customFormat="1" ht="12.75"/>
    <row r="174" s="4" customFormat="1" ht="12.75"/>
    <row r="175" s="4" customFormat="1" ht="12.75"/>
    <row r="176" s="4" customFormat="1" ht="12.75"/>
    <row r="177" s="4" customFormat="1" ht="12.75"/>
    <row r="178" s="4" customFormat="1" ht="12.75"/>
    <row r="179" s="4" customFormat="1" ht="12.75"/>
    <row r="180" s="4" customFormat="1" ht="12.75"/>
    <row r="181" s="4" customFormat="1" ht="12.75"/>
    <row r="182" s="4" customFormat="1" ht="12.75"/>
    <row r="183" s="4" customFormat="1" ht="12.75"/>
    <row r="184" s="4" customFormat="1" ht="12.75"/>
    <row r="185" s="4" customFormat="1" ht="12.75"/>
    <row r="186" s="4" customFormat="1" ht="12.75"/>
    <row r="187" s="4" customFormat="1" ht="12.75"/>
    <row r="188" s="4" customFormat="1" ht="12.75"/>
    <row r="189" s="4" customFormat="1" ht="12.75"/>
    <row r="190" s="4" customFormat="1" ht="12.75"/>
    <row r="191" s="4" customFormat="1" ht="12.75"/>
    <row r="192" s="4" customFormat="1" ht="12.75"/>
    <row r="193" s="4" customFormat="1" ht="12.75"/>
    <row r="194" s="4" customFormat="1" ht="12.75"/>
    <row r="195" s="4" customFormat="1" ht="12.75"/>
    <row r="196" s="4" customFormat="1" ht="12.75"/>
    <row r="197" s="4" customFormat="1" ht="12.75"/>
    <row r="198" s="4" customFormat="1" ht="12.75"/>
    <row r="199" s="4" customFormat="1" ht="12.75"/>
    <row r="200" s="4" customFormat="1" ht="12.75"/>
    <row r="201" s="4" customFormat="1" ht="12.75"/>
    <row r="202" s="4" customFormat="1" ht="12.75"/>
    <row r="203" s="4" customFormat="1" ht="12.75"/>
    <row r="204" s="4" customFormat="1" ht="12.75"/>
    <row r="205" s="4" customFormat="1" ht="12.75"/>
    <row r="206" s="4" customFormat="1" ht="12.75"/>
    <row r="207" s="4" customFormat="1" ht="12.75"/>
    <row r="208" s="4" customFormat="1" ht="12.75"/>
    <row r="209" s="4" customFormat="1" ht="12.75"/>
    <row r="210" s="4" customFormat="1" ht="12.75"/>
    <row r="211" s="4" customFormat="1" ht="12.75"/>
    <row r="212" s="4" customFormat="1" ht="12.75"/>
    <row r="213" s="4" customFormat="1" ht="12.75"/>
    <row r="214" s="4" customFormat="1" ht="12.75"/>
    <row r="215" s="4" customFormat="1" ht="12.75"/>
    <row r="216" s="4" customFormat="1" ht="12.75"/>
    <row r="217" s="4" customFormat="1" ht="12.75"/>
    <row r="218" s="4" customFormat="1" ht="12.75"/>
    <row r="219" s="4" customFormat="1" ht="12.75"/>
    <row r="220" s="4" customFormat="1" ht="12.75"/>
    <row r="221" s="4" customFormat="1" ht="12.75"/>
    <row r="222" s="4" customFormat="1" ht="12.75"/>
    <row r="223" s="4" customFormat="1" ht="12.75"/>
    <row r="224" s="4" customFormat="1" ht="12.75"/>
  </sheetData>
  <mergeCells count="2">
    <mergeCell ref="A1:F1"/>
    <mergeCell ref="A2:F2"/>
  </mergeCells>
  <printOptions horizontalCentered="1"/>
  <pageMargins left="0.3937007874015748" right="0.3937007874015748" top="0.7874015748031497" bottom="0.3937007874015748" header="0.5118110236220472" footer="0.5118110236220472"/>
  <pageSetup fitToHeight="1" fitToWidth="1" horizontalDpi="600" verticalDpi="600" orientation="portrait" paperSize="9" scale="3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9"/>
  <sheetViews>
    <sheetView zoomScale="60" zoomScaleNormal="60" workbookViewId="0" topLeftCell="A48">
      <selection activeCell="E80" sqref="E80"/>
    </sheetView>
  </sheetViews>
  <sheetFormatPr defaultColWidth="9.00390625" defaultRowHeight="12.75"/>
  <cols>
    <col min="1" max="1" width="52.75390625" style="0" customWidth="1"/>
    <col min="2" max="6" width="25.625" style="0" customWidth="1"/>
    <col min="7" max="7" width="20.125" style="0" customWidth="1"/>
  </cols>
  <sheetData>
    <row r="1" spans="1:6" s="54" customFormat="1" ht="47.25" customHeight="1">
      <c r="A1" s="53" t="s">
        <v>45</v>
      </c>
      <c r="B1" s="53"/>
      <c r="C1" s="53"/>
      <c r="D1" s="53"/>
      <c r="E1" s="53"/>
      <c r="F1" s="53"/>
    </row>
    <row r="2" spans="1:6" s="57" customFormat="1" ht="23.25">
      <c r="A2" s="55" t="s">
        <v>48</v>
      </c>
      <c r="B2" s="55"/>
      <c r="C2" s="55"/>
      <c r="D2" s="56"/>
      <c r="E2" s="56"/>
      <c r="F2" s="56"/>
    </row>
    <row r="3" s="58" customFormat="1" ht="18.75" thickBot="1">
      <c r="F3" s="59" t="s">
        <v>46</v>
      </c>
    </row>
    <row r="4" spans="1:6" s="2" customFormat="1" ht="29.25" customHeight="1" thickBot="1">
      <c r="A4" s="61" t="s">
        <v>20</v>
      </c>
      <c r="B4" s="63"/>
      <c r="C4" s="63" t="s">
        <v>0</v>
      </c>
      <c r="D4" s="63" t="s">
        <v>1</v>
      </c>
      <c r="E4" s="63" t="s">
        <v>2</v>
      </c>
      <c r="F4" s="64" t="s">
        <v>3</v>
      </c>
    </row>
    <row r="5" spans="1:6" s="3" customFormat="1" ht="49.5" customHeight="1">
      <c r="A5" s="65" t="s">
        <v>7</v>
      </c>
      <c r="B5" s="66">
        <f aca="true" t="shared" si="0" ref="B5:B69">C5+D5+E5+F5</f>
        <v>100491.403</v>
      </c>
      <c r="C5" s="67">
        <f>C6+C7</f>
        <v>44495.06</v>
      </c>
      <c r="D5" s="67">
        <f>D6+D7</f>
        <v>1735.249</v>
      </c>
      <c r="E5" s="67">
        <f>E6+E7</f>
        <v>25415.551</v>
      </c>
      <c r="F5" s="68">
        <f>F6+F7</f>
        <v>28845.543</v>
      </c>
    </row>
    <row r="6" spans="1:6" s="3" customFormat="1" ht="27" customHeight="1">
      <c r="A6" s="34" t="s">
        <v>25</v>
      </c>
      <c r="B6" s="32">
        <f t="shared" si="0"/>
        <v>83459.192</v>
      </c>
      <c r="C6" s="8">
        <f>44495.06-C7</f>
        <v>44178.850999999995</v>
      </c>
      <c r="D6" s="8">
        <f>1735.249-D7</f>
        <v>1734.009</v>
      </c>
      <c r="E6" s="8">
        <f>25415.551-E7</f>
        <v>24554.726</v>
      </c>
      <c r="F6" s="9">
        <f>28845.543-F7</f>
        <v>12991.606</v>
      </c>
    </row>
    <row r="7" spans="1:6" s="3" customFormat="1" ht="20.25" customHeight="1">
      <c r="A7" s="34" t="s">
        <v>22</v>
      </c>
      <c r="B7" s="32">
        <f t="shared" si="0"/>
        <v>17032.211000000003</v>
      </c>
      <c r="C7" s="8">
        <f>C8+C9</f>
        <v>316.209</v>
      </c>
      <c r="D7" s="15">
        <f>D8+D9</f>
        <v>1.24</v>
      </c>
      <c r="E7" s="15">
        <f>E8+E9</f>
        <v>860.825</v>
      </c>
      <c r="F7" s="16">
        <f>F8+F9</f>
        <v>15853.937000000002</v>
      </c>
    </row>
    <row r="8" spans="1:6" s="3" customFormat="1" ht="21.75" customHeight="1">
      <c r="A8" s="34" t="s">
        <v>23</v>
      </c>
      <c r="B8" s="32">
        <f t="shared" si="0"/>
        <v>4907.759</v>
      </c>
      <c r="C8" s="11">
        <v>53.015</v>
      </c>
      <c r="D8" s="11"/>
      <c r="E8" s="11">
        <v>131.479</v>
      </c>
      <c r="F8" s="12">
        <v>4723.265</v>
      </c>
    </row>
    <row r="9" spans="1:6" s="3" customFormat="1" ht="24.75" customHeight="1">
      <c r="A9" s="34" t="s">
        <v>24</v>
      </c>
      <c r="B9" s="32">
        <f t="shared" si="0"/>
        <v>12124.452000000001</v>
      </c>
      <c r="C9" s="11">
        <v>263.194</v>
      </c>
      <c r="D9" s="11">
        <v>1.24</v>
      </c>
      <c r="E9" s="11">
        <v>729.346</v>
      </c>
      <c r="F9" s="12">
        <v>11130.672</v>
      </c>
    </row>
    <row r="10" spans="1:7" s="3" customFormat="1" ht="57.75" customHeight="1">
      <c r="A10" s="69" t="s">
        <v>15</v>
      </c>
      <c r="B10" s="32">
        <f t="shared" si="0"/>
        <v>7081.987999999999</v>
      </c>
      <c r="C10" s="15">
        <f>C11+C12</f>
        <v>1085.07</v>
      </c>
      <c r="D10" s="15"/>
      <c r="E10" s="15">
        <f>E11+E12</f>
        <v>2663.263</v>
      </c>
      <c r="F10" s="16">
        <f>F11+F12</f>
        <v>3333.6549999999997</v>
      </c>
      <c r="G10" s="5"/>
    </row>
    <row r="11" spans="1:6" s="3" customFormat="1" ht="21.75" customHeight="1">
      <c r="A11" s="34" t="s">
        <v>25</v>
      </c>
      <c r="B11" s="32">
        <f t="shared" si="0"/>
        <v>4568.397</v>
      </c>
      <c r="C11" s="8">
        <v>971.026</v>
      </c>
      <c r="D11" s="8"/>
      <c r="E11" s="8">
        <v>2210.31</v>
      </c>
      <c r="F11" s="9">
        <v>1387.061</v>
      </c>
    </row>
    <row r="12" spans="1:6" s="3" customFormat="1" ht="19.5" customHeight="1">
      <c r="A12" s="34" t="s">
        <v>22</v>
      </c>
      <c r="B12" s="32">
        <f t="shared" si="0"/>
        <v>2513.5910000000003</v>
      </c>
      <c r="C12" s="15">
        <f>C13+C14</f>
        <v>114.044</v>
      </c>
      <c r="D12" s="8"/>
      <c r="E12" s="15">
        <f>E13+E14</f>
        <v>452.95300000000003</v>
      </c>
      <c r="F12" s="16">
        <f>F13+F14</f>
        <v>1946.594</v>
      </c>
    </row>
    <row r="13" spans="1:6" s="3" customFormat="1" ht="17.25" customHeight="1">
      <c r="A13" s="34" t="s">
        <v>23</v>
      </c>
      <c r="B13" s="32">
        <f t="shared" si="0"/>
        <v>1377.1</v>
      </c>
      <c r="C13" s="11"/>
      <c r="D13" s="11"/>
      <c r="E13" s="11">
        <v>72.915</v>
      </c>
      <c r="F13" s="12">
        <v>1304.185</v>
      </c>
    </row>
    <row r="14" spans="1:8" s="3" customFormat="1" ht="17.25" customHeight="1">
      <c r="A14" s="34" t="s">
        <v>24</v>
      </c>
      <c r="B14" s="32">
        <f t="shared" si="0"/>
        <v>1136.491</v>
      </c>
      <c r="C14" s="11">
        <v>114.044</v>
      </c>
      <c r="D14" s="11"/>
      <c r="E14" s="11">
        <v>380.038</v>
      </c>
      <c r="F14" s="12">
        <v>642.409</v>
      </c>
      <c r="H14" s="3" t="s">
        <v>33</v>
      </c>
    </row>
    <row r="15" spans="1:6" s="3" customFormat="1" ht="45" customHeight="1">
      <c r="A15" s="69" t="s">
        <v>6</v>
      </c>
      <c r="B15" s="32">
        <f t="shared" si="0"/>
        <v>1669.497</v>
      </c>
      <c r="C15" s="15">
        <f>C16+C17</f>
        <v>1669.497</v>
      </c>
      <c r="D15" s="8"/>
      <c r="E15" s="8"/>
      <c r="F15" s="9"/>
    </row>
    <row r="16" spans="1:6" s="3" customFormat="1" ht="19.5" customHeight="1">
      <c r="A16" s="34" t="s">
        <v>25</v>
      </c>
      <c r="B16" s="32">
        <f t="shared" si="0"/>
        <v>1669.116</v>
      </c>
      <c r="C16" s="8">
        <v>1669.116</v>
      </c>
      <c r="D16" s="8"/>
      <c r="E16" s="15"/>
      <c r="F16" s="16"/>
    </row>
    <row r="17" spans="1:6" s="3" customFormat="1" ht="18" customHeight="1">
      <c r="A17" s="34" t="s">
        <v>22</v>
      </c>
      <c r="B17" s="32">
        <f t="shared" si="0"/>
        <v>0.381</v>
      </c>
      <c r="C17" s="15">
        <f>C18+C19</f>
        <v>0.381</v>
      </c>
      <c r="D17" s="8"/>
      <c r="E17" s="15">
        <f>E18+E19</f>
        <v>0</v>
      </c>
      <c r="F17" s="16">
        <f>F18+F19</f>
        <v>0</v>
      </c>
    </row>
    <row r="18" spans="1:6" s="3" customFormat="1" ht="19.5" customHeight="1">
      <c r="A18" s="34" t="s">
        <v>23</v>
      </c>
      <c r="B18" s="32">
        <f t="shared" si="0"/>
        <v>0.381</v>
      </c>
      <c r="C18" s="11">
        <v>0.381</v>
      </c>
      <c r="D18" s="11"/>
      <c r="E18" s="11"/>
      <c r="F18" s="12"/>
    </row>
    <row r="19" spans="1:6" s="3" customFormat="1" ht="19.5" customHeight="1">
      <c r="A19" s="34" t="s">
        <v>24</v>
      </c>
      <c r="B19" s="32">
        <f t="shared" si="0"/>
        <v>0</v>
      </c>
      <c r="C19" s="11"/>
      <c r="D19" s="11"/>
      <c r="E19" s="11"/>
      <c r="F19" s="12"/>
    </row>
    <row r="20" spans="1:6" s="3" customFormat="1" ht="80.25" customHeight="1">
      <c r="A20" s="69" t="s">
        <v>8</v>
      </c>
      <c r="B20" s="32">
        <f t="shared" si="0"/>
        <v>1186.083</v>
      </c>
      <c r="C20" s="15">
        <f>C21+C22</f>
        <v>9.508</v>
      </c>
      <c r="D20" s="15">
        <f>D21+D22</f>
        <v>1073.02</v>
      </c>
      <c r="E20" s="15">
        <f>E21+E22</f>
        <v>19.961</v>
      </c>
      <c r="F20" s="16">
        <f>F21+F22</f>
        <v>83.594</v>
      </c>
    </row>
    <row r="21" spans="1:6" s="3" customFormat="1" ht="21.75" customHeight="1">
      <c r="A21" s="34" t="s">
        <v>25</v>
      </c>
      <c r="B21" s="32">
        <f t="shared" si="0"/>
        <v>1165.243</v>
      </c>
      <c r="C21" s="8">
        <v>9.508</v>
      </c>
      <c r="D21" s="8">
        <v>1073.02</v>
      </c>
      <c r="E21" s="8">
        <v>19.961</v>
      </c>
      <c r="F21" s="9">
        <v>62.754</v>
      </c>
    </row>
    <row r="22" spans="1:6" s="3" customFormat="1" ht="21" customHeight="1">
      <c r="A22" s="34" t="s">
        <v>22</v>
      </c>
      <c r="B22" s="32">
        <f t="shared" si="0"/>
        <v>20.84</v>
      </c>
      <c r="C22" s="8"/>
      <c r="D22" s="8"/>
      <c r="E22" s="15">
        <f>E23+E24</f>
        <v>0</v>
      </c>
      <c r="F22" s="16">
        <f>F23+F24</f>
        <v>20.84</v>
      </c>
    </row>
    <row r="23" spans="1:6" s="3" customFormat="1" ht="21.75" customHeight="1">
      <c r="A23" s="34" t="s">
        <v>23</v>
      </c>
      <c r="B23" s="32">
        <f t="shared" si="0"/>
        <v>20.84</v>
      </c>
      <c r="C23" s="11"/>
      <c r="D23" s="11"/>
      <c r="E23" s="11"/>
      <c r="F23" s="12">
        <v>20.84</v>
      </c>
    </row>
    <row r="24" spans="1:6" s="3" customFormat="1" ht="21" customHeight="1">
      <c r="A24" s="34" t="s">
        <v>24</v>
      </c>
      <c r="B24" s="32">
        <f t="shared" si="0"/>
        <v>0</v>
      </c>
      <c r="C24" s="11"/>
      <c r="D24" s="11"/>
      <c r="E24" s="11"/>
      <c r="F24" s="12"/>
    </row>
    <row r="25" spans="1:6" s="3" customFormat="1" ht="52.5" customHeight="1">
      <c r="A25" s="69" t="s">
        <v>9</v>
      </c>
      <c r="B25" s="32">
        <f t="shared" si="0"/>
        <v>14154.060000000001</v>
      </c>
      <c r="C25" s="15">
        <f>C26+C27</f>
        <v>7221.68</v>
      </c>
      <c r="D25" s="15"/>
      <c r="E25" s="15">
        <f>E26+E27</f>
        <v>2261.624</v>
      </c>
      <c r="F25" s="16">
        <f>F26+F27</f>
        <v>4670.756</v>
      </c>
    </row>
    <row r="26" spans="1:6" s="3" customFormat="1" ht="19.5" customHeight="1">
      <c r="A26" s="34" t="s">
        <v>25</v>
      </c>
      <c r="B26" s="32">
        <f t="shared" si="0"/>
        <v>11373.617</v>
      </c>
      <c r="C26" s="8">
        <v>7221.68</v>
      </c>
      <c r="D26" s="8"/>
      <c r="E26" s="15">
        <v>2261.624</v>
      </c>
      <c r="F26" s="16">
        <v>1890.313</v>
      </c>
    </row>
    <row r="27" spans="1:6" s="3" customFormat="1" ht="24.75" customHeight="1">
      <c r="A27" s="34" t="s">
        <v>22</v>
      </c>
      <c r="B27" s="32">
        <f t="shared" si="0"/>
        <v>2780.443</v>
      </c>
      <c r="C27" s="8"/>
      <c r="D27" s="8"/>
      <c r="E27" s="15">
        <f>E28+E29</f>
        <v>0</v>
      </c>
      <c r="F27" s="16">
        <f>F28+F29</f>
        <v>2780.443</v>
      </c>
    </row>
    <row r="28" spans="1:6" s="3" customFormat="1" ht="25.5" customHeight="1">
      <c r="A28" s="34" t="s">
        <v>23</v>
      </c>
      <c r="B28" s="32">
        <f t="shared" si="0"/>
        <v>2751.469</v>
      </c>
      <c r="C28" s="11"/>
      <c r="D28" s="11"/>
      <c r="E28" s="11"/>
      <c r="F28" s="12">
        <f>2624.141+127.328</f>
        <v>2751.469</v>
      </c>
    </row>
    <row r="29" spans="1:6" s="3" customFormat="1" ht="20.25" customHeight="1">
      <c r="A29" s="34" t="s">
        <v>24</v>
      </c>
      <c r="B29" s="32">
        <f t="shared" si="0"/>
        <v>28.974</v>
      </c>
      <c r="C29" s="11"/>
      <c r="D29" s="11"/>
      <c r="E29" s="11"/>
      <c r="F29" s="12">
        <v>28.974</v>
      </c>
    </row>
    <row r="30" spans="1:6" s="3" customFormat="1" ht="57.75" customHeight="1">
      <c r="A30" s="69" t="s">
        <v>10</v>
      </c>
      <c r="B30" s="32">
        <f t="shared" si="0"/>
        <v>146.69299999999998</v>
      </c>
      <c r="C30" s="11"/>
      <c r="D30" s="15"/>
      <c r="E30" s="15">
        <f>E31+E32</f>
        <v>101.316</v>
      </c>
      <c r="F30" s="16">
        <f>F31+F32</f>
        <v>45.376999999999995</v>
      </c>
    </row>
    <row r="31" spans="1:11" s="3" customFormat="1" ht="22.5" customHeight="1">
      <c r="A31" s="34" t="s">
        <v>25</v>
      </c>
      <c r="B31" s="32">
        <f t="shared" si="0"/>
        <v>112.662</v>
      </c>
      <c r="C31" s="8"/>
      <c r="D31" s="8"/>
      <c r="E31" s="15">
        <v>101.316</v>
      </c>
      <c r="F31" s="16">
        <v>11.346</v>
      </c>
      <c r="H31" s="1"/>
      <c r="I31" s="1"/>
      <c r="J31" s="1"/>
      <c r="K31" s="1"/>
    </row>
    <row r="32" spans="1:6" s="3" customFormat="1" ht="24.75" customHeight="1">
      <c r="A32" s="34" t="s">
        <v>22</v>
      </c>
      <c r="B32" s="32">
        <f t="shared" si="0"/>
        <v>34.031</v>
      </c>
      <c r="C32" s="8"/>
      <c r="D32" s="8"/>
      <c r="E32" s="15">
        <f>E33+E34</f>
        <v>0</v>
      </c>
      <c r="F32" s="16">
        <f>F33+F34</f>
        <v>34.031</v>
      </c>
    </row>
    <row r="33" spans="1:6" s="3" customFormat="1" ht="18" customHeight="1">
      <c r="A33" s="34" t="s">
        <v>23</v>
      </c>
      <c r="B33" s="32">
        <f t="shared" si="0"/>
        <v>29.512</v>
      </c>
      <c r="C33" s="11"/>
      <c r="D33" s="11"/>
      <c r="E33" s="11"/>
      <c r="F33" s="12">
        <v>29.512</v>
      </c>
    </row>
    <row r="34" spans="1:6" s="3" customFormat="1" ht="18" customHeight="1">
      <c r="A34" s="34" t="s">
        <v>24</v>
      </c>
      <c r="B34" s="32">
        <f t="shared" si="0"/>
        <v>4.519</v>
      </c>
      <c r="C34" s="11"/>
      <c r="D34" s="11"/>
      <c r="E34" s="11"/>
      <c r="F34" s="12">
        <v>4.519</v>
      </c>
    </row>
    <row r="35" spans="1:6" s="3" customFormat="1" ht="25.5" customHeight="1">
      <c r="A35" s="69" t="s">
        <v>40</v>
      </c>
      <c r="B35" s="32">
        <f t="shared" si="0"/>
        <v>0</v>
      </c>
      <c r="C35" s="21"/>
      <c r="D35" s="21"/>
      <c r="E35" s="15">
        <f>E36+E37</f>
        <v>0</v>
      </c>
      <c r="F35" s="16">
        <f>F36+F37</f>
        <v>0</v>
      </c>
    </row>
    <row r="36" spans="1:6" s="3" customFormat="1" ht="23.25" customHeight="1">
      <c r="A36" s="34" t="s">
        <v>25</v>
      </c>
      <c r="B36" s="32">
        <f t="shared" si="0"/>
        <v>0</v>
      </c>
      <c r="C36" s="8"/>
      <c r="D36" s="8"/>
      <c r="E36" s="8"/>
      <c r="F36" s="9"/>
    </row>
    <row r="37" spans="1:6" s="3" customFormat="1" ht="23.25" customHeight="1">
      <c r="A37" s="34" t="s">
        <v>22</v>
      </c>
      <c r="B37" s="32">
        <f t="shared" si="0"/>
        <v>0</v>
      </c>
      <c r="C37" s="8"/>
      <c r="D37" s="8"/>
      <c r="E37" s="15">
        <f>E38+E39</f>
        <v>0</v>
      </c>
      <c r="F37" s="16">
        <f>F38+F39</f>
        <v>0</v>
      </c>
    </row>
    <row r="38" spans="1:6" s="3" customFormat="1" ht="23.25" customHeight="1">
      <c r="A38" s="34" t="s">
        <v>23</v>
      </c>
      <c r="B38" s="32">
        <f t="shared" si="0"/>
        <v>0</v>
      </c>
      <c r="C38" s="21"/>
      <c r="D38" s="21"/>
      <c r="E38" s="21"/>
      <c r="F38" s="25"/>
    </row>
    <row r="39" spans="1:6" s="3" customFormat="1" ht="23.25" customHeight="1">
      <c r="A39" s="34" t="s">
        <v>24</v>
      </c>
      <c r="B39" s="32">
        <f t="shared" si="0"/>
        <v>0</v>
      </c>
      <c r="C39" s="21"/>
      <c r="D39" s="21"/>
      <c r="E39" s="21"/>
      <c r="F39" s="25"/>
    </row>
    <row r="40" spans="1:7" s="3" customFormat="1" ht="42" customHeight="1">
      <c r="A40" s="69" t="s">
        <v>41</v>
      </c>
      <c r="B40" s="32">
        <f t="shared" si="0"/>
        <v>0</v>
      </c>
      <c r="C40" s="21"/>
      <c r="D40" s="21"/>
      <c r="E40" s="15">
        <f>E41+E42</f>
        <v>0</v>
      </c>
      <c r="F40" s="16">
        <f>F41+F42</f>
        <v>0</v>
      </c>
      <c r="G40" s="7"/>
    </row>
    <row r="41" spans="1:6" s="3" customFormat="1" ht="19.5" customHeight="1">
      <c r="A41" s="34" t="s">
        <v>25</v>
      </c>
      <c r="B41" s="32">
        <f t="shared" si="0"/>
        <v>0</v>
      </c>
      <c r="C41" s="8"/>
      <c r="D41" s="8"/>
      <c r="E41" s="8"/>
      <c r="F41" s="9"/>
    </row>
    <row r="42" spans="1:6" s="3" customFormat="1" ht="19.5" customHeight="1">
      <c r="A42" s="34" t="s">
        <v>22</v>
      </c>
      <c r="B42" s="32">
        <f t="shared" si="0"/>
        <v>0</v>
      </c>
      <c r="C42" s="8"/>
      <c r="D42" s="8"/>
      <c r="E42" s="15">
        <f>E43+E44</f>
        <v>0</v>
      </c>
      <c r="F42" s="16">
        <f>F43+F44</f>
        <v>0</v>
      </c>
    </row>
    <row r="43" spans="1:6" s="3" customFormat="1" ht="19.5" customHeight="1">
      <c r="A43" s="34" t="s">
        <v>23</v>
      </c>
      <c r="B43" s="32">
        <f t="shared" si="0"/>
        <v>0</v>
      </c>
      <c r="C43" s="21"/>
      <c r="D43" s="21"/>
      <c r="E43" s="21"/>
      <c r="F43" s="25"/>
    </row>
    <row r="44" spans="1:6" s="3" customFormat="1" ht="19.5" customHeight="1">
      <c r="A44" s="34" t="s">
        <v>24</v>
      </c>
      <c r="B44" s="32">
        <f t="shared" si="0"/>
        <v>0</v>
      </c>
      <c r="C44" s="21"/>
      <c r="D44" s="21"/>
      <c r="E44" s="21"/>
      <c r="F44" s="25"/>
    </row>
    <row r="45" spans="1:6" s="3" customFormat="1" ht="24.75" customHeight="1">
      <c r="A45" s="69" t="s">
        <v>11</v>
      </c>
      <c r="B45" s="32">
        <f t="shared" si="0"/>
        <v>3063.06</v>
      </c>
      <c r="C45" s="15"/>
      <c r="D45" s="8"/>
      <c r="E45" s="15">
        <f>E46+E47</f>
        <v>2347.107</v>
      </c>
      <c r="F45" s="16">
        <f>F46+F47</f>
        <v>715.953</v>
      </c>
    </row>
    <row r="46" spans="1:6" s="3" customFormat="1" ht="24.75" customHeight="1">
      <c r="A46" s="34" t="s">
        <v>25</v>
      </c>
      <c r="B46" s="32">
        <f t="shared" si="0"/>
        <v>2542.8880000000004</v>
      </c>
      <c r="C46" s="8"/>
      <c r="D46" s="8"/>
      <c r="E46" s="15">
        <v>2324.762</v>
      </c>
      <c r="F46" s="16">
        <v>218.126</v>
      </c>
    </row>
    <row r="47" spans="1:6" s="3" customFormat="1" ht="24.75" customHeight="1">
      <c r="A47" s="34" t="s">
        <v>22</v>
      </c>
      <c r="B47" s="32">
        <f t="shared" si="0"/>
        <v>520.172</v>
      </c>
      <c r="C47" s="8"/>
      <c r="D47" s="8"/>
      <c r="E47" s="15">
        <f>E48+E49</f>
        <v>22.345</v>
      </c>
      <c r="F47" s="16">
        <f>F48+F49</f>
        <v>497.827</v>
      </c>
    </row>
    <row r="48" spans="1:6" s="3" customFormat="1" ht="24.75" customHeight="1">
      <c r="A48" s="34" t="s">
        <v>23</v>
      </c>
      <c r="B48" s="32">
        <f t="shared" si="0"/>
        <v>414.919</v>
      </c>
      <c r="C48" s="8"/>
      <c r="D48" s="8"/>
      <c r="E48" s="11">
        <v>21.4</v>
      </c>
      <c r="F48" s="12">
        <f>370.219+23.3</f>
        <v>393.519</v>
      </c>
    </row>
    <row r="49" spans="1:6" s="3" customFormat="1" ht="24.75" customHeight="1">
      <c r="A49" s="34" t="s">
        <v>24</v>
      </c>
      <c r="B49" s="32">
        <f t="shared" si="0"/>
        <v>105.253</v>
      </c>
      <c r="C49" s="8"/>
      <c r="D49" s="8"/>
      <c r="E49" s="11">
        <v>0.945</v>
      </c>
      <c r="F49" s="12">
        <v>104.308</v>
      </c>
    </row>
    <row r="50" spans="1:6" s="3" customFormat="1" ht="24.75" customHeight="1">
      <c r="A50" s="69" t="s">
        <v>5</v>
      </c>
      <c r="B50" s="32">
        <f t="shared" si="0"/>
        <v>2881.398</v>
      </c>
      <c r="C50" s="15">
        <f>C51+C52</f>
        <v>395.866</v>
      </c>
      <c r="D50" s="8"/>
      <c r="E50" s="15">
        <f>E51+E52</f>
        <v>1201.016</v>
      </c>
      <c r="F50" s="16">
        <f>F51+F52</f>
        <v>1284.516</v>
      </c>
    </row>
    <row r="51" spans="1:6" s="3" customFormat="1" ht="24.75" customHeight="1">
      <c r="A51" s="34" t="s">
        <v>25</v>
      </c>
      <c r="B51" s="32">
        <f t="shared" si="0"/>
        <v>1761.5279999999998</v>
      </c>
      <c r="C51" s="15">
        <v>395.866</v>
      </c>
      <c r="D51" s="8"/>
      <c r="E51" s="15">
        <v>649.602</v>
      </c>
      <c r="F51" s="16">
        <v>716.06</v>
      </c>
    </row>
    <row r="52" spans="1:6" s="3" customFormat="1" ht="24.75" customHeight="1">
      <c r="A52" s="34" t="s">
        <v>22</v>
      </c>
      <c r="B52" s="32">
        <f t="shared" si="0"/>
        <v>1119.87</v>
      </c>
      <c r="C52" s="8"/>
      <c r="D52" s="8"/>
      <c r="E52" s="15">
        <f>E53+E54</f>
        <v>551.414</v>
      </c>
      <c r="F52" s="16">
        <f>F53+F54</f>
        <v>568.456</v>
      </c>
    </row>
    <row r="53" spans="1:12" s="3" customFormat="1" ht="24.75" customHeight="1">
      <c r="A53" s="34" t="s">
        <v>23</v>
      </c>
      <c r="B53" s="32">
        <f t="shared" si="0"/>
        <v>1116.15</v>
      </c>
      <c r="C53" s="11"/>
      <c r="D53" s="11"/>
      <c r="E53" s="11">
        <f>536.372+11.322</f>
        <v>547.694</v>
      </c>
      <c r="F53" s="12">
        <f>503.377+65.079</f>
        <v>568.456</v>
      </c>
      <c r="H53" s="50"/>
      <c r="I53" s="50"/>
      <c r="J53" s="50"/>
      <c r="K53" s="50"/>
      <c r="L53" s="50"/>
    </row>
    <row r="54" spans="1:12" s="3" customFormat="1" ht="24.75" customHeight="1">
      <c r="A54" s="34" t="s">
        <v>24</v>
      </c>
      <c r="B54" s="32">
        <f t="shared" si="0"/>
        <v>3.72</v>
      </c>
      <c r="C54" s="11"/>
      <c r="D54" s="11"/>
      <c r="E54" s="15">
        <v>3.72</v>
      </c>
      <c r="F54" s="12"/>
      <c r="H54" s="50"/>
      <c r="I54" s="50"/>
      <c r="J54" s="50"/>
      <c r="K54" s="50"/>
      <c r="L54" s="50"/>
    </row>
    <row r="55" spans="1:12" s="3" customFormat="1" ht="66.75" customHeight="1">
      <c r="A55" s="69" t="s">
        <v>12</v>
      </c>
      <c r="B55" s="32">
        <f t="shared" si="0"/>
        <v>6868.349999999999</v>
      </c>
      <c r="C55" s="15"/>
      <c r="D55" s="8"/>
      <c r="E55" s="15">
        <f>E56+E57</f>
        <v>1693.879</v>
      </c>
      <c r="F55" s="16">
        <f>F56+F57</f>
        <v>5174.471</v>
      </c>
      <c r="H55" s="51"/>
      <c r="I55" s="51"/>
      <c r="J55" s="51"/>
      <c r="K55" s="51"/>
      <c r="L55" s="51"/>
    </row>
    <row r="56" spans="1:12" s="3" customFormat="1" ht="26.25" customHeight="1">
      <c r="A56" s="34" t="s">
        <v>25</v>
      </c>
      <c r="B56" s="32">
        <f t="shared" si="0"/>
        <v>3386.089</v>
      </c>
      <c r="C56" s="8"/>
      <c r="D56" s="8"/>
      <c r="E56" s="15">
        <v>1424.941</v>
      </c>
      <c r="F56" s="16">
        <v>1961.148</v>
      </c>
      <c r="H56" s="51"/>
      <c r="I56" s="51"/>
      <c r="J56" s="51"/>
      <c r="K56" s="51"/>
      <c r="L56" s="51"/>
    </row>
    <row r="57" spans="1:12" s="3" customFormat="1" ht="26.25" customHeight="1">
      <c r="A57" s="34" t="s">
        <v>22</v>
      </c>
      <c r="B57" s="32">
        <f t="shared" si="0"/>
        <v>3482.261</v>
      </c>
      <c r="C57" s="8"/>
      <c r="D57" s="8"/>
      <c r="E57" s="15">
        <f>E58+E59</f>
        <v>268.938</v>
      </c>
      <c r="F57" s="16">
        <f>F58+F59</f>
        <v>3213.323</v>
      </c>
      <c r="H57" s="51"/>
      <c r="I57" s="51"/>
      <c r="J57" s="51"/>
      <c r="K57" s="51"/>
      <c r="L57" s="51"/>
    </row>
    <row r="58" spans="1:12" s="3" customFormat="1" ht="26.25" customHeight="1">
      <c r="A58" s="34" t="s">
        <v>23</v>
      </c>
      <c r="B58" s="32">
        <f t="shared" si="0"/>
        <v>825.868</v>
      </c>
      <c r="C58" s="10"/>
      <c r="D58" s="8"/>
      <c r="E58" s="11">
        <v>42.801</v>
      </c>
      <c r="F58" s="12">
        <v>783.067</v>
      </c>
      <c r="H58" s="52"/>
      <c r="I58" s="52"/>
      <c r="J58" s="52"/>
      <c r="K58" s="52"/>
      <c r="L58" s="52"/>
    </row>
    <row r="59" spans="1:12" s="3" customFormat="1" ht="26.25" customHeight="1">
      <c r="A59" s="34" t="s">
        <v>24</v>
      </c>
      <c r="B59" s="32">
        <f t="shared" si="0"/>
        <v>2656.393</v>
      </c>
      <c r="C59" s="10"/>
      <c r="D59" s="8"/>
      <c r="E59" s="11">
        <v>226.137</v>
      </c>
      <c r="F59" s="12">
        <v>2430.256</v>
      </c>
      <c r="H59" s="5"/>
      <c r="I59" s="5"/>
      <c r="J59" s="5"/>
      <c r="K59" s="5"/>
      <c r="L59" s="5"/>
    </row>
    <row r="60" spans="1:6" s="3" customFormat="1" ht="24.75" customHeight="1">
      <c r="A60" s="70" t="s">
        <v>13</v>
      </c>
      <c r="B60" s="32">
        <f t="shared" si="0"/>
        <v>178.17899999999997</v>
      </c>
      <c r="C60" s="8"/>
      <c r="D60" s="8"/>
      <c r="E60" s="8">
        <f>E61+E62</f>
        <v>81.612</v>
      </c>
      <c r="F60" s="9">
        <f>F61+F62</f>
        <v>96.567</v>
      </c>
    </row>
    <row r="61" spans="1:6" s="3" customFormat="1" ht="26.25" customHeight="1">
      <c r="A61" s="34" t="s">
        <v>25</v>
      </c>
      <c r="B61" s="32">
        <f t="shared" si="0"/>
        <v>178.17899999999997</v>
      </c>
      <c r="C61" s="8"/>
      <c r="D61" s="8"/>
      <c r="E61" s="15">
        <v>81.612</v>
      </c>
      <c r="F61" s="16">
        <v>96.567</v>
      </c>
    </row>
    <row r="62" spans="1:6" s="3" customFormat="1" ht="26.25" customHeight="1">
      <c r="A62" s="34" t="s">
        <v>22</v>
      </c>
      <c r="B62" s="32">
        <f t="shared" si="0"/>
        <v>0</v>
      </c>
      <c r="C62" s="8"/>
      <c r="D62" s="8"/>
      <c r="E62" s="15">
        <f>E63+E64</f>
        <v>0</v>
      </c>
      <c r="F62" s="16">
        <f>F63+F64</f>
        <v>0</v>
      </c>
    </row>
    <row r="63" spans="1:6" s="3" customFormat="1" ht="26.25" customHeight="1">
      <c r="A63" s="34" t="s">
        <v>23</v>
      </c>
      <c r="B63" s="32">
        <f t="shared" si="0"/>
        <v>0</v>
      </c>
      <c r="C63" s="10"/>
      <c r="D63" s="8"/>
      <c r="E63" s="10"/>
      <c r="F63" s="17"/>
    </row>
    <row r="64" spans="1:6" s="3" customFormat="1" ht="26.25" customHeight="1">
      <c r="A64" s="34" t="s">
        <v>24</v>
      </c>
      <c r="B64" s="32">
        <f t="shared" si="0"/>
        <v>0</v>
      </c>
      <c r="C64" s="10"/>
      <c r="D64" s="8"/>
      <c r="E64" s="10"/>
      <c r="F64" s="17"/>
    </row>
    <row r="65" spans="1:6" s="3" customFormat="1" ht="24.75" customHeight="1">
      <c r="A65" s="70" t="s">
        <v>4</v>
      </c>
      <c r="B65" s="32">
        <f t="shared" si="0"/>
        <v>796.412</v>
      </c>
      <c r="C65" s="21">
        <f>C66+C67</f>
        <v>796.412</v>
      </c>
      <c r="D65" s="8"/>
      <c r="E65" s="8"/>
      <c r="F65" s="9"/>
    </row>
    <row r="66" spans="1:6" s="3" customFormat="1" ht="21.75" customHeight="1">
      <c r="A66" s="34" t="s">
        <v>25</v>
      </c>
      <c r="B66" s="32">
        <f t="shared" si="0"/>
        <v>796.412</v>
      </c>
      <c r="C66" s="15">
        <v>796.412</v>
      </c>
      <c r="D66" s="8"/>
      <c r="E66" s="15">
        <f>E65-E67</f>
        <v>0</v>
      </c>
      <c r="F66" s="16">
        <f>F65-F67</f>
        <v>0</v>
      </c>
    </row>
    <row r="67" spans="1:6" s="3" customFormat="1" ht="18" customHeight="1">
      <c r="A67" s="34" t="s">
        <v>22</v>
      </c>
      <c r="B67" s="32">
        <f t="shared" si="0"/>
        <v>0</v>
      </c>
      <c r="C67" s="15">
        <f>C68+C69</f>
        <v>0</v>
      </c>
      <c r="D67" s="8"/>
      <c r="E67" s="15">
        <f>E68+E69</f>
        <v>0</v>
      </c>
      <c r="F67" s="16">
        <f>F68+F69</f>
        <v>0</v>
      </c>
    </row>
    <row r="68" spans="1:6" s="3" customFormat="1" ht="19.5" customHeight="1">
      <c r="A68" s="34" t="s">
        <v>23</v>
      </c>
      <c r="B68" s="32">
        <f t="shared" si="0"/>
        <v>0</v>
      </c>
      <c r="C68" s="21"/>
      <c r="D68" s="8"/>
      <c r="E68" s="8"/>
      <c r="F68" s="9"/>
    </row>
    <row r="69" spans="1:6" s="3" customFormat="1" ht="19.5" customHeight="1" thickBot="1">
      <c r="A69" s="35" t="s">
        <v>24</v>
      </c>
      <c r="B69" s="33">
        <f t="shared" si="0"/>
        <v>0</v>
      </c>
      <c r="C69" s="23"/>
      <c r="D69" s="13"/>
      <c r="E69" s="13"/>
      <c r="F69" s="18"/>
    </row>
    <row r="70" spans="1:6" s="4" customFormat="1" ht="27" customHeight="1">
      <c r="A70" s="71" t="s">
        <v>34</v>
      </c>
      <c r="B70" s="72">
        <f>C70+D70+E70+F70</f>
        <v>309.606</v>
      </c>
      <c r="C70" s="40"/>
      <c r="D70" s="40"/>
      <c r="E70" s="41">
        <v>309.606</v>
      </c>
      <c r="F70" s="42"/>
    </row>
    <row r="71" spans="1:6" s="4" customFormat="1" ht="27" customHeight="1">
      <c r="A71" s="39" t="s">
        <v>35</v>
      </c>
      <c r="B71" s="6">
        <f aca="true" t="shared" si="1" ref="B71:B79">C71+D71+E71+F71</f>
        <v>35.772</v>
      </c>
      <c r="C71" s="8"/>
      <c r="D71" s="8"/>
      <c r="E71" s="11">
        <v>35.772</v>
      </c>
      <c r="F71" s="9"/>
    </row>
    <row r="72" spans="1:6" s="4" customFormat="1" ht="27" customHeight="1">
      <c r="A72" s="39" t="s">
        <v>42</v>
      </c>
      <c r="B72" s="6">
        <f t="shared" si="1"/>
        <v>627.49</v>
      </c>
      <c r="C72" s="8"/>
      <c r="D72" s="8"/>
      <c r="E72" s="11">
        <v>551.492</v>
      </c>
      <c r="F72" s="12">
        <v>75.998</v>
      </c>
    </row>
    <row r="73" spans="1:6" s="4" customFormat="1" ht="27" customHeight="1">
      <c r="A73" s="48" t="s">
        <v>43</v>
      </c>
      <c r="B73" s="6">
        <f t="shared" si="1"/>
        <v>1936.6499999999999</v>
      </c>
      <c r="C73" s="75">
        <v>1922.1</v>
      </c>
      <c r="D73" s="75"/>
      <c r="E73" s="75"/>
      <c r="F73" s="76">
        <v>14.55</v>
      </c>
    </row>
    <row r="74" spans="1:6" s="4" customFormat="1" ht="27" customHeight="1">
      <c r="A74" s="39" t="s">
        <v>36</v>
      </c>
      <c r="B74" s="6">
        <f t="shared" si="1"/>
        <v>975.908</v>
      </c>
      <c r="C74" s="10">
        <v>609.073</v>
      </c>
      <c r="D74" s="10"/>
      <c r="E74" s="10">
        <v>297.514</v>
      </c>
      <c r="F74" s="17">
        <v>69.321</v>
      </c>
    </row>
    <row r="75" spans="1:6" s="4" customFormat="1" ht="27" customHeight="1">
      <c r="A75" s="39" t="s">
        <v>44</v>
      </c>
      <c r="B75" s="6">
        <f t="shared" si="1"/>
        <v>0</v>
      </c>
      <c r="C75" s="10"/>
      <c r="D75" s="10"/>
      <c r="E75" s="10"/>
      <c r="F75" s="17"/>
    </row>
    <row r="76" spans="1:6" s="4" customFormat="1" ht="27" customHeight="1">
      <c r="A76" s="48" t="s">
        <v>37</v>
      </c>
      <c r="B76" s="79">
        <f t="shared" si="1"/>
        <v>0</v>
      </c>
      <c r="C76" s="46"/>
      <c r="D76" s="46"/>
      <c r="E76" s="46"/>
      <c r="F76" s="47"/>
    </row>
    <row r="77" spans="1:6" s="4" customFormat="1" ht="36">
      <c r="A77" s="80" t="s">
        <v>38</v>
      </c>
      <c r="B77" s="79">
        <f t="shared" si="1"/>
        <v>0</v>
      </c>
      <c r="C77" s="46"/>
      <c r="D77" s="46"/>
      <c r="E77" s="46"/>
      <c r="F77" s="47"/>
    </row>
    <row r="78" spans="1:6" s="4" customFormat="1" ht="54.75" thickBot="1">
      <c r="A78" s="82" t="s">
        <v>39</v>
      </c>
      <c r="B78" s="83">
        <f t="shared" si="1"/>
        <v>0</v>
      </c>
      <c r="C78" s="84"/>
      <c r="D78" s="84"/>
      <c r="E78" s="84"/>
      <c r="F78" s="85"/>
    </row>
    <row r="79" spans="1:6" s="4" customFormat="1" ht="30" customHeight="1" thickBot="1">
      <c r="A79" s="86" t="s">
        <v>14</v>
      </c>
      <c r="B79" s="87">
        <f t="shared" si="1"/>
        <v>142402.549</v>
      </c>
      <c r="C79" s="88">
        <f>C5+C10+C15+C20+C25+C30+C35+C40+C45+C50+C55+C60+C65+C70+C70+C71+C72+C73+C74+C75+C76+C77+C78</f>
        <v>58204.265999999996</v>
      </c>
      <c r="D79" s="88">
        <f>D5+D10+D15+D20+D25+D30+D35+D40+D45+D50+D55+D60+D65+D70+D70+D71+D72+D73+D74+D75+D76+D77+D78</f>
        <v>2808.2690000000002</v>
      </c>
      <c r="E79" s="88">
        <f>E5+E10+E15+E20+E25+E30+E35+E40+E45+E50+E55+E60+E65+E70+E71+E72+E73+E74+E75+E76+E77+E78</f>
        <v>36979.713</v>
      </c>
      <c r="F79" s="88">
        <f>F5+F10+F15+F20+F25+F30+F35+F40+F45+F50+F55+F60+F65+F70+F70+F71+F72+F73+F74+F75+F76+F77+F78</f>
        <v>44410.301000000014</v>
      </c>
    </row>
    <row r="80" s="4" customFormat="1" ht="12.75"/>
    <row r="81" s="4" customFormat="1" ht="12.75"/>
    <row r="82" s="4" customFormat="1" ht="12.75"/>
    <row r="83" s="4" customFormat="1" ht="12.75"/>
    <row r="84" s="4" customFormat="1" ht="12.75"/>
    <row r="85" s="4" customFormat="1" ht="12.75"/>
    <row r="86" s="4" customFormat="1" ht="12.75"/>
    <row r="87" s="4" customFormat="1" ht="12.75"/>
    <row r="88" s="4" customFormat="1" ht="12.75"/>
    <row r="89" s="4" customFormat="1" ht="12.75"/>
    <row r="90" s="4" customFormat="1" ht="12.75"/>
    <row r="91" s="4" customFormat="1" ht="12.75"/>
    <row r="92" s="4" customFormat="1" ht="12.75"/>
    <row r="93" s="4" customFormat="1" ht="12.75"/>
    <row r="94" s="4" customFormat="1" ht="12.75"/>
    <row r="95" s="4" customFormat="1" ht="12.75"/>
    <row r="96" s="4" customFormat="1" ht="12.75"/>
    <row r="97" s="4" customFormat="1" ht="12.75"/>
    <row r="98" s="4" customFormat="1" ht="12.75"/>
    <row r="99" s="4" customFormat="1" ht="12.75"/>
    <row r="100" s="4" customFormat="1" ht="12.75"/>
    <row r="101" s="4" customFormat="1" ht="12.75"/>
    <row r="102" s="4" customFormat="1" ht="12.75"/>
    <row r="103" s="4" customFormat="1" ht="12.75"/>
    <row r="104" s="4" customFormat="1" ht="12.75"/>
    <row r="105" s="4" customFormat="1" ht="12.75"/>
    <row r="106" s="4" customFormat="1" ht="12.75"/>
    <row r="107" s="4" customFormat="1" ht="12.75"/>
    <row r="108" s="4" customFormat="1" ht="12.75"/>
    <row r="109" s="4" customFormat="1" ht="12.75"/>
    <row r="110" s="4" customFormat="1" ht="12.75"/>
    <row r="111" s="4" customFormat="1" ht="12.75"/>
    <row r="112" s="4" customFormat="1" ht="12.75"/>
    <row r="113" s="4" customFormat="1" ht="12.75"/>
    <row r="114" s="4" customFormat="1" ht="12.75"/>
    <row r="115" s="4" customFormat="1" ht="12.75"/>
    <row r="116" s="4" customFormat="1" ht="12.75"/>
    <row r="117" s="4" customFormat="1" ht="12.75"/>
    <row r="118" s="4" customFormat="1" ht="12.75"/>
    <row r="119" s="4" customFormat="1" ht="12.75"/>
    <row r="120" s="4" customFormat="1" ht="12.75"/>
    <row r="121" s="4" customFormat="1" ht="12.75"/>
    <row r="122" s="4" customFormat="1" ht="12.75"/>
    <row r="123" s="4" customFormat="1" ht="12.75"/>
    <row r="124" s="4" customFormat="1" ht="12.75"/>
    <row r="125" s="4" customFormat="1" ht="12.75"/>
    <row r="126" s="4" customFormat="1" ht="12.75"/>
    <row r="127" s="4" customFormat="1" ht="12.75"/>
    <row r="128" s="4" customFormat="1" ht="12.75"/>
    <row r="129" s="4" customFormat="1" ht="12.75"/>
    <row r="130" s="4" customFormat="1" ht="12.75"/>
    <row r="131" s="4" customFormat="1" ht="12.75"/>
    <row r="132" s="4" customFormat="1" ht="12.75"/>
    <row r="133" s="4" customFormat="1" ht="12.75"/>
    <row r="134" s="4" customFormat="1" ht="12.75"/>
    <row r="135" s="4" customFormat="1" ht="12.75"/>
    <row r="136" s="4" customFormat="1" ht="12.75"/>
    <row r="137" s="4" customFormat="1" ht="12.75"/>
  </sheetData>
  <mergeCells count="2">
    <mergeCell ref="A1:F1"/>
    <mergeCell ref="A2:F2"/>
  </mergeCells>
  <printOptions horizontalCentered="1"/>
  <pageMargins left="0.3937007874015748" right="0.3937007874015748" top="0.7874015748031497" bottom="0.3937007874015748" header="0.5118110236220472" footer="0.5118110236220472"/>
  <pageSetup fitToHeight="1" fitToWidth="1" horizontalDpi="600" verticalDpi="600" orientation="portrait" paperSize="9" scale="3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84"/>
  <sheetViews>
    <sheetView tabSelected="1" zoomScale="60" zoomScaleNormal="60" workbookViewId="0" topLeftCell="A1">
      <pane xSplit="1" ySplit="4" topLeftCell="B4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65" sqref="C65"/>
    </sheetView>
  </sheetViews>
  <sheetFormatPr defaultColWidth="9.00390625" defaultRowHeight="12.75"/>
  <cols>
    <col min="1" max="1" width="50.125" style="0" customWidth="1"/>
    <col min="2" max="6" width="23.25390625" style="0" customWidth="1"/>
    <col min="7" max="9" width="17.75390625" style="0" customWidth="1"/>
    <col min="10" max="11" width="17.25390625" style="0" customWidth="1"/>
  </cols>
  <sheetData>
    <row r="1" spans="1:6" s="54" customFormat="1" ht="47.25" customHeight="1">
      <c r="A1" s="53" t="s">
        <v>45</v>
      </c>
      <c r="B1" s="53"/>
      <c r="C1" s="53"/>
      <c r="D1" s="53"/>
      <c r="E1" s="53"/>
      <c r="F1" s="53"/>
    </row>
    <row r="2" spans="1:6" s="57" customFormat="1" ht="23.25">
      <c r="A2" s="55" t="s">
        <v>47</v>
      </c>
      <c r="B2" s="55"/>
      <c r="C2" s="55"/>
      <c r="D2" s="56"/>
      <c r="E2" s="56"/>
      <c r="F2" s="56"/>
    </row>
    <row r="3" s="58" customFormat="1" ht="18.75" thickBot="1">
      <c r="F3" s="59" t="s">
        <v>46</v>
      </c>
    </row>
    <row r="4" spans="1:16" s="3" customFormat="1" ht="24.75" customHeight="1" thickBot="1">
      <c r="A4" s="61" t="s">
        <v>16</v>
      </c>
      <c r="B4" s="63"/>
      <c r="C4" s="63" t="s">
        <v>0</v>
      </c>
      <c r="D4" s="63" t="s">
        <v>1</v>
      </c>
      <c r="E4" s="63" t="s">
        <v>2</v>
      </c>
      <c r="F4" s="64" t="s">
        <v>3</v>
      </c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s="3" customFormat="1" ht="43.5" customHeight="1">
      <c r="A5" s="89" t="s">
        <v>7</v>
      </c>
      <c r="B5" s="72">
        <f aca="true" t="shared" si="0" ref="B5:B69">C5+D5+E5+F5</f>
        <v>973375.472</v>
      </c>
      <c r="C5" s="67">
        <f>C6+C7</f>
        <v>437960.3349999999</v>
      </c>
      <c r="D5" s="67">
        <f>D6+D7</f>
        <v>14709.107000000002</v>
      </c>
      <c r="E5" s="67">
        <f>E6+E7</f>
        <v>228785.30000000005</v>
      </c>
      <c r="F5" s="68">
        <f>F6+F7</f>
        <v>291920.73</v>
      </c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s="3" customFormat="1" ht="24.75" customHeight="1">
      <c r="A6" s="19" t="s">
        <v>25</v>
      </c>
      <c r="B6" s="6">
        <f t="shared" si="0"/>
        <v>792900.336</v>
      </c>
      <c r="C6" s="8">
        <f>январь!C6+февраль!C6+март!C6+апрель!C6+май!C6+июнь!C6+июль!C6+август!C6+сентябрь!C6+октябрь!C6+ноябрь!C6+декабрь!C6</f>
        <v>434901.92499999993</v>
      </c>
      <c r="D6" s="8">
        <f>январь!D6+февраль!D6+март!D6+апрель!D6+май!D6+июнь!D6+июль!D6+август!D6+сентябрь!D6+октябрь!D6+ноябрь!D6+декабрь!D6</f>
        <v>14690.579000000002</v>
      </c>
      <c r="E6" s="8">
        <f>январь!E6+февраль!E6+март!E6+апрель!E6+май!E6+июнь!E6+июль!E6+август!E6+сентябрь!E6+октябрь!E6+ноябрь!E6+декабрь!E6</f>
        <v>220740.35300000003</v>
      </c>
      <c r="F6" s="9">
        <f>январь!F6+февраль!F6+март!F6+апрель!F6+май!F6+июнь!F6+июль!F6+август!F6+сентябрь!F6+октябрь!F6+ноябрь!F6+декабрь!F6</f>
        <v>122567.47900000002</v>
      </c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s="3" customFormat="1" ht="24.75" customHeight="1">
      <c r="A7" s="19" t="s">
        <v>22</v>
      </c>
      <c r="B7" s="6">
        <f t="shared" si="0"/>
        <v>180475.136</v>
      </c>
      <c r="C7" s="15">
        <f>C8+C9</f>
        <v>3058.41</v>
      </c>
      <c r="D7" s="15">
        <f>D8+D9</f>
        <v>18.528</v>
      </c>
      <c r="E7" s="15">
        <f>E8+E9</f>
        <v>8044.947</v>
      </c>
      <c r="F7" s="16">
        <f>F8+F9</f>
        <v>169353.251</v>
      </c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s="3" customFormat="1" ht="24.75" customHeight="1">
      <c r="A8" s="19" t="s">
        <v>23</v>
      </c>
      <c r="B8" s="6">
        <f t="shared" si="0"/>
        <v>51656.378</v>
      </c>
      <c r="C8" s="10">
        <f>январь!C8+февраль!C8+март!C8+апрель!C8+май!C8+июнь!C8+июль!C8+август!C8+сентябрь!C8+октябрь!C8+ноябрь!C8+декабрь!C8</f>
        <v>605.2969999999998</v>
      </c>
      <c r="D8" s="10">
        <f>январь!D8+февраль!D8+март!D8+апрель!D8+май!D8+июнь!D8+июль!D8+август!D8+сентябрь!D8+октябрь!D8+ноябрь!D8+декабрь!D8</f>
        <v>0</v>
      </c>
      <c r="E8" s="10">
        <f>январь!E8+февраль!E8+март!E8+апрель!E8+май!E8+июнь!E8+июль!E8+август!E8+сентябрь!E8+октябрь!E8+ноябрь!E8+декабрь!E8</f>
        <v>1196.689</v>
      </c>
      <c r="F8" s="17">
        <f>январь!F8+февраль!F8+март!F8+апрель!F8+май!F8+июнь!F8+июль!F8+август!F8+сентябрь!F8+октябрь!F8+ноябрь!F8+декабрь!F8</f>
        <v>49854.392</v>
      </c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s="3" customFormat="1" ht="24.75" customHeight="1">
      <c r="A9" s="19" t="s">
        <v>24</v>
      </c>
      <c r="B9" s="6">
        <f t="shared" si="0"/>
        <v>128818.758</v>
      </c>
      <c r="C9" s="10">
        <f>январь!C9+февраль!C9+март!C9+апрель!C9+май!C9+июнь!C9+июль!C9+август!C9+сентябрь!C9+октябрь!C9+ноябрь!C9+декабрь!C9</f>
        <v>2453.1130000000003</v>
      </c>
      <c r="D9" s="10">
        <f>январь!D9+февраль!D9+март!D9+апрель!D9+май!D9+июнь!D9+июль!D9+август!D9+сентябрь!D9+октябрь!D9+ноябрь!D9+декабрь!D9</f>
        <v>18.528</v>
      </c>
      <c r="E9" s="10">
        <f>январь!E9+февраль!E9+март!E9+апрель!E9+май!E9+июнь!E9+июль!E9+август!E9+сентябрь!E9+октябрь!E9+ноябрь!E9+декабрь!E9</f>
        <v>6848.258</v>
      </c>
      <c r="F9" s="17">
        <f>январь!F9+февраль!F9+март!F9+апрель!F9+май!F9+июнь!F9+июль!F9+август!F9+сентябрь!F9+октябрь!F9+ноябрь!F9+декабрь!F9</f>
        <v>119498.859</v>
      </c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s="3" customFormat="1" ht="38.25" customHeight="1">
      <c r="A10" s="90" t="s">
        <v>15</v>
      </c>
      <c r="B10" s="6">
        <f t="shared" si="0"/>
        <v>67011.24799999999</v>
      </c>
      <c r="C10" s="15">
        <f>C11+C12</f>
        <v>9462.999000000002</v>
      </c>
      <c r="D10" s="15">
        <f>D11+D12</f>
        <v>0</v>
      </c>
      <c r="E10" s="15">
        <f>E11+E12</f>
        <v>24820.582</v>
      </c>
      <c r="F10" s="16">
        <f>F11+F12</f>
        <v>32727.667</v>
      </c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s="3" customFormat="1" ht="24.75" customHeight="1">
      <c r="A11" s="19" t="s">
        <v>25</v>
      </c>
      <c r="B11" s="6">
        <f t="shared" si="0"/>
        <v>43580.346000000005</v>
      </c>
      <c r="C11" s="8">
        <f>январь!C11+февраль!C11+март!C11+апрель!C11+май!C11+июнь!C11+июль!C11+август!C11+сентябрь!C11+октябрь!C11+ноябрь!C11+декабрь!C11</f>
        <v>8754.204000000002</v>
      </c>
      <c r="D11" s="8">
        <f>январь!D11+февраль!D11+март!D11+апрель!D11+май!D11+июнь!D11+июль!D11+август!D11+сентябрь!D11+октябрь!D11+ноябрь!D11+декабрь!D11</f>
        <v>0</v>
      </c>
      <c r="E11" s="8">
        <f>январь!E11+февраль!E11+март!E11+апрель!E11+май!E11+июнь!E11+июль!E11+август!E11+сентябрь!E11+октябрь!E11+ноябрь!E11+декабрь!E11</f>
        <v>20175.411</v>
      </c>
      <c r="F11" s="9">
        <f>январь!F11+февраль!F11+март!F11+апрель!F11+май!F11+июнь!F11+июль!F11+август!F11+сентябрь!F11+октябрь!F11+ноябрь!F11+декабрь!F11</f>
        <v>14650.731000000002</v>
      </c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s="3" customFormat="1" ht="24.75" customHeight="1">
      <c r="A12" s="19" t="s">
        <v>22</v>
      </c>
      <c r="B12" s="6">
        <f t="shared" si="0"/>
        <v>23430.902000000002</v>
      </c>
      <c r="C12" s="15">
        <f>C13+C14</f>
        <v>708.795</v>
      </c>
      <c r="D12" s="15">
        <f>D13+D14</f>
        <v>0</v>
      </c>
      <c r="E12" s="15">
        <f>E13+E14</f>
        <v>4645.170999999999</v>
      </c>
      <c r="F12" s="16">
        <f>F13+F14</f>
        <v>18076.936</v>
      </c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s="3" customFormat="1" ht="24.75" customHeight="1">
      <c r="A13" s="19" t="s">
        <v>23</v>
      </c>
      <c r="B13" s="6">
        <f t="shared" si="0"/>
        <v>13166.101999999999</v>
      </c>
      <c r="C13" s="10">
        <f>январь!C13+февраль!C13+март!C13+апрель!C13+май!C13+июнь!C13+июль!C13+август!C13+сентябрь!C13+октябрь!C13+ноябрь!C13+декабрь!C13</f>
        <v>0</v>
      </c>
      <c r="D13" s="10">
        <f>январь!D13+февраль!D13+март!D13+апрель!D13+май!D13+июнь!D13+июль!D13+август!D13+сентябрь!D13+октябрь!D13+ноябрь!D13+декабрь!D13</f>
        <v>0</v>
      </c>
      <c r="E13" s="10">
        <f>январь!E13+февраль!E13+март!E13+апрель!E13+май!E13+июнь!E13+июль!E13+август!E13+сентябрь!E13+октябрь!E13+ноябрь!E13+декабрь!E13</f>
        <v>660.987</v>
      </c>
      <c r="F13" s="17">
        <f>январь!F13+февраль!F13+март!F13+апрель!F13+май!F13+июнь!F13+июль!F13+август!F13+сентябрь!F13+октябрь!F13+ноябрь!F13+декабрь!F13</f>
        <v>12505.115</v>
      </c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s="3" customFormat="1" ht="24.75" customHeight="1">
      <c r="A14" s="19" t="s">
        <v>24</v>
      </c>
      <c r="B14" s="6">
        <f t="shared" si="0"/>
        <v>10264.8</v>
      </c>
      <c r="C14" s="10">
        <f>январь!C14+февраль!C14+март!C14+апрель!C14+май!C14+июнь!C14+июль!C14+август!C14+сентябрь!C14+октябрь!C14+ноябрь!C14+декабрь!C14</f>
        <v>708.795</v>
      </c>
      <c r="D14" s="10">
        <f>январь!D14+февраль!D14+март!D14+апрель!D14+май!D14+июнь!D14+июль!D14+август!D14+сентябрь!D14+октябрь!D14+ноябрь!D14+декабрь!D14</f>
        <v>0</v>
      </c>
      <c r="E14" s="10">
        <f>январь!E14+февраль!E14+март!E14+апрель!E14+май!E14+июнь!E14+июль!E14+август!E14+сентябрь!E14+октябрь!E14+ноябрь!E14+декабрь!E14</f>
        <v>3984.1839999999997</v>
      </c>
      <c r="F14" s="17">
        <f>январь!F14+февраль!F14+март!F14+апрель!F14+май!F14+июнь!F14+июль!F14+август!F14+сентябрь!F14+октябрь!F14+ноябрь!F14+декабрь!F14</f>
        <v>5571.821</v>
      </c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s="3" customFormat="1" ht="24.75" customHeight="1">
      <c r="A15" s="90" t="s">
        <v>6</v>
      </c>
      <c r="B15" s="6">
        <f t="shared" si="0"/>
        <v>15370.819000000001</v>
      </c>
      <c r="C15" s="21">
        <f>C16+C17</f>
        <v>15370.415</v>
      </c>
      <c r="D15" s="21">
        <f>D16+D17</f>
        <v>0</v>
      </c>
      <c r="E15" s="21">
        <f>E16+E17</f>
        <v>0</v>
      </c>
      <c r="F15" s="22">
        <f>F16+F17</f>
        <v>0.404</v>
      </c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s="2" customFormat="1" ht="27" customHeight="1">
      <c r="A16" s="19" t="s">
        <v>25</v>
      </c>
      <c r="B16" s="6">
        <f t="shared" si="0"/>
        <v>15369.433</v>
      </c>
      <c r="C16" s="8">
        <f>январь!C16+февраль!C16+март!C16+апрель!C16+май!C16+июнь!C16+июль!C16+август!C16+сентябрь!C16+октябрь!C16+ноябрь!C16+декабрь!C16</f>
        <v>15369.433</v>
      </c>
      <c r="D16" s="8">
        <f>январь!D16+февраль!D16+март!D16+апрель!D16+май!D16+июнь!D16+июль!D16+август!D16+сентябрь!D16+октябрь!D16+ноябрь!D16+декабрь!D16</f>
        <v>0</v>
      </c>
      <c r="E16" s="8">
        <f>январь!E16+февраль!E16+март!E16+апрель!E16+май!E16+июнь!E16+июль!E16+август!E16+сентябрь!E16+октябрь!E16+ноябрь!E16+декабрь!E16</f>
        <v>0</v>
      </c>
      <c r="F16" s="9">
        <f>январь!F16+февраль!F16+март!F16+апрель!F16+май!F16+июнь!F16+июль!F16+август!F16+сентябрь!F16+октябрь!F16+ноябрь!F16+декабрь!F16</f>
        <v>0</v>
      </c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6" s="1" customFormat="1" ht="18.75">
      <c r="A17" s="19" t="s">
        <v>22</v>
      </c>
      <c r="B17" s="6">
        <f t="shared" si="0"/>
        <v>1.3860000000000001</v>
      </c>
      <c r="C17" s="15">
        <f>C18+C19</f>
        <v>0.982</v>
      </c>
      <c r="D17" s="15">
        <f>D18+D19</f>
        <v>0</v>
      </c>
      <c r="E17" s="15">
        <f>E18+E19</f>
        <v>0</v>
      </c>
      <c r="F17" s="16">
        <f>F18+F19</f>
        <v>0.404</v>
      </c>
    </row>
    <row r="18" spans="1:16" s="4" customFormat="1" ht="18.75">
      <c r="A18" s="19" t="s">
        <v>23</v>
      </c>
      <c r="B18" s="6">
        <f t="shared" si="0"/>
        <v>0.381</v>
      </c>
      <c r="C18" s="10">
        <f>январь!C18+февраль!C18+март!C18+апрель!C18+май!C18+июнь!C18+июль!C18+август!C18+сентябрь!C18+октябрь!C18+ноябрь!C18+декабрь!C18</f>
        <v>0.381</v>
      </c>
      <c r="D18" s="10">
        <f>январь!D18+февраль!D18+март!D18+апрель!D18+май!D18+июнь!D18+июль!D18+август!D18+сентябрь!D18+октябрь!D18+ноябрь!D18+декабрь!D18</f>
        <v>0</v>
      </c>
      <c r="E18" s="10">
        <f>январь!E18+февраль!E18+март!E18+апрель!E18+май!E18+июнь!E18+июль!E18+август!E18+сентябрь!E18+октябрь!E18+ноябрь!E18+декабрь!E18</f>
        <v>0</v>
      </c>
      <c r="F18" s="17">
        <f>январь!F18+февраль!F18+март!F18+апрель!F18+май!F18+июнь!F18+июль!F18+август!F18+сентябрь!F18+октябрь!F18+ноябрь!F18+декабрь!F18</f>
        <v>0</v>
      </c>
      <c r="G18" s="57"/>
      <c r="H18" s="57"/>
      <c r="I18" s="57"/>
      <c r="J18" s="57"/>
      <c r="K18" s="57"/>
      <c r="L18" s="57"/>
      <c r="M18" s="57"/>
      <c r="N18" s="57"/>
      <c r="O18" s="57"/>
      <c r="P18" s="57"/>
    </row>
    <row r="19" spans="1:16" s="4" customFormat="1" ht="18.75">
      <c r="A19" s="19" t="s">
        <v>24</v>
      </c>
      <c r="B19" s="6">
        <f t="shared" si="0"/>
        <v>1.005</v>
      </c>
      <c r="C19" s="10">
        <f>январь!C19+февраль!C19+март!C19+апрель!C19+май!C19+июнь!C19+июль!C19+август!C19+сентябрь!C19+октябрь!C19+ноябрь!C19+декабрь!C19</f>
        <v>0.601</v>
      </c>
      <c r="D19" s="10">
        <f>январь!D19+февраль!D19+март!D19+апрель!D19+май!D19+июнь!D19+июль!D19+август!D19+сентябрь!D19+октябрь!D19+ноябрь!D19+декабрь!D19</f>
        <v>0</v>
      </c>
      <c r="E19" s="10">
        <f>январь!E19+февраль!E19+март!E19+апрель!E19+май!E19+июнь!E19+июль!E19+август!E19+сентябрь!E19+октябрь!E19+ноябрь!E19+декабрь!E19</f>
        <v>0</v>
      </c>
      <c r="F19" s="17">
        <f>январь!F19+февраль!F19+март!F19+апрель!F19+май!F19+июнь!F19+июль!F19+август!F19+сентябрь!F19+октябрь!F19+ноябрь!F19+декабрь!F19</f>
        <v>0.404</v>
      </c>
      <c r="G19" s="57"/>
      <c r="H19" s="57"/>
      <c r="I19" s="57"/>
      <c r="J19" s="57"/>
      <c r="K19" s="57"/>
      <c r="L19" s="57"/>
      <c r="M19" s="57"/>
      <c r="N19" s="57"/>
      <c r="O19" s="57"/>
      <c r="P19" s="57"/>
    </row>
    <row r="20" spans="1:16" s="4" customFormat="1" ht="40.5" customHeight="1">
      <c r="A20" s="90" t="s">
        <v>8</v>
      </c>
      <c r="B20" s="6">
        <f t="shared" si="0"/>
        <v>8228.042</v>
      </c>
      <c r="C20" s="21">
        <f>C21+C22</f>
        <v>148.32299999999998</v>
      </c>
      <c r="D20" s="21">
        <f>D21+D22</f>
        <v>6811.794999999998</v>
      </c>
      <c r="E20" s="21">
        <f>E21+E22</f>
        <v>195.43899999999996</v>
      </c>
      <c r="F20" s="22">
        <f>F21+F22</f>
        <v>1072.4850000000001</v>
      </c>
      <c r="G20" s="57"/>
      <c r="H20" s="57"/>
      <c r="I20" s="57"/>
      <c r="J20" s="57"/>
      <c r="K20" s="57"/>
      <c r="L20" s="57"/>
      <c r="M20" s="57"/>
      <c r="N20" s="57"/>
      <c r="O20" s="57"/>
      <c r="P20" s="57"/>
    </row>
    <row r="21" spans="1:16" s="4" customFormat="1" ht="18.75">
      <c r="A21" s="19" t="s">
        <v>25</v>
      </c>
      <c r="B21" s="6">
        <f t="shared" si="0"/>
        <v>7979.161999999998</v>
      </c>
      <c r="C21" s="8">
        <f>январь!C21+февраль!C21+март!C21+апрель!C21+май!C21+июнь!C21+июль!C21+август!C21+сентябрь!C21+октябрь!C21+ноябрь!C21+декабрь!C21</f>
        <v>148.32299999999998</v>
      </c>
      <c r="D21" s="8">
        <f>январь!D21+февраль!D21+март!D21+апрель!D21+май!D21+июнь!D21+июль!D21+август!D21+сентябрь!D21+октябрь!D21+ноябрь!D21+декабрь!D21</f>
        <v>6811.794999999998</v>
      </c>
      <c r="E21" s="8">
        <f>январь!E21+февраль!E21+март!E21+апрель!E21+май!E21+июнь!E21+июль!E21+август!E21+сентябрь!E21+октябрь!E21+ноябрь!E21+декабрь!E21</f>
        <v>195.43899999999996</v>
      </c>
      <c r="F21" s="9">
        <f>январь!F21+февраль!F21+март!F21+апрель!F21+май!F21+июнь!F21+июль!F21+август!F21+сентябрь!F21+октябрь!F21+ноябрь!F21+декабрь!F21</f>
        <v>823.605</v>
      </c>
      <c r="G21" s="57"/>
      <c r="H21" s="57"/>
      <c r="I21" s="57"/>
      <c r="J21" s="57"/>
      <c r="K21" s="57"/>
      <c r="L21" s="57"/>
      <c r="M21" s="57"/>
      <c r="N21" s="57"/>
      <c r="O21" s="57"/>
      <c r="P21" s="57"/>
    </row>
    <row r="22" spans="1:16" s="4" customFormat="1" ht="18.75">
      <c r="A22" s="19" t="s">
        <v>22</v>
      </c>
      <c r="B22" s="6">
        <f t="shared" si="0"/>
        <v>248.88000000000002</v>
      </c>
      <c r="C22" s="15">
        <f>C23+C24</f>
        <v>0</v>
      </c>
      <c r="D22" s="15">
        <f>D23+D24</f>
        <v>0</v>
      </c>
      <c r="E22" s="15">
        <f>E23+E24</f>
        <v>0</v>
      </c>
      <c r="F22" s="16">
        <f>F23+F24</f>
        <v>248.88000000000002</v>
      </c>
      <c r="G22" s="57"/>
      <c r="H22" s="57"/>
      <c r="I22" s="57"/>
      <c r="J22" s="57"/>
      <c r="K22" s="57"/>
      <c r="L22" s="57"/>
      <c r="M22" s="57"/>
      <c r="N22" s="57"/>
      <c r="O22" s="57"/>
      <c r="P22" s="57"/>
    </row>
    <row r="23" spans="1:16" s="4" customFormat="1" ht="18.75">
      <c r="A23" s="19" t="s">
        <v>23</v>
      </c>
      <c r="B23" s="6">
        <f t="shared" si="0"/>
        <v>248.88000000000002</v>
      </c>
      <c r="C23" s="10">
        <f>январь!C23+февраль!C23+март!C23+апрель!C23+май!C23+июнь!C23+июль!C23+август!C23+сентябрь!C23+октябрь!C23+ноябрь!C23+декабрь!C23</f>
        <v>0</v>
      </c>
      <c r="D23" s="10">
        <f>январь!D23+февраль!D23+март!D23+апрель!D23+май!D23+июнь!D23+июль!D23+август!D23+сентябрь!D23+октябрь!D23+ноябрь!D23+декабрь!D23</f>
        <v>0</v>
      </c>
      <c r="E23" s="10">
        <f>январь!E23+февраль!E23+март!E23+апрель!E23+май!E23+июнь!E23+июль!E23+август!E23+сентябрь!E23+октябрь!E23+ноябрь!E23+декабрь!E23</f>
        <v>0</v>
      </c>
      <c r="F23" s="17">
        <f>январь!F23+февраль!F23+март!F23+апрель!F23+май!F23+июнь!F23+июль!F23+август!F23+сентябрь!F23+октябрь!F23+ноябрь!F23+декабрь!F23</f>
        <v>248.88000000000002</v>
      </c>
      <c r="G23" s="57"/>
      <c r="H23" s="57"/>
      <c r="I23" s="57"/>
      <c r="J23" s="57"/>
      <c r="K23" s="57"/>
      <c r="L23" s="57"/>
      <c r="M23" s="57"/>
      <c r="N23" s="57"/>
      <c r="O23" s="57"/>
      <c r="P23" s="57"/>
    </row>
    <row r="24" spans="1:16" s="4" customFormat="1" ht="18.75">
      <c r="A24" s="19" t="s">
        <v>24</v>
      </c>
      <c r="B24" s="6">
        <f t="shared" si="0"/>
        <v>0</v>
      </c>
      <c r="C24" s="10">
        <f>январь!C24+февраль!C24+март!C24+апрель!C24+май!C24+июнь!C24+июль!C24+август!C24+сентябрь!C24+октябрь!C24+ноябрь!C24+декабрь!C24</f>
        <v>0</v>
      </c>
      <c r="D24" s="10">
        <f>январь!D24+февраль!D24+март!D24+апрель!D24+май!D24+июнь!D24+июль!D24+август!D24+сентябрь!D24+октябрь!D24+ноябрь!D24+декабрь!D24</f>
        <v>0</v>
      </c>
      <c r="E24" s="10">
        <f>январь!E24+февраль!E24+март!E24+апрель!E24+май!E24+июнь!E24+июль!E24+август!E24+сентябрь!E24+октябрь!E24+ноябрь!E24+декабрь!E24</f>
        <v>0</v>
      </c>
      <c r="F24" s="17">
        <f>январь!F24+февраль!F24+март!F24+апрель!F24+май!F24+июнь!F24+июль!F24+август!F24+сентябрь!F24+октябрь!F24+ноябрь!F24+декабрь!F24</f>
        <v>0</v>
      </c>
      <c r="G24" s="57"/>
      <c r="H24" s="57"/>
      <c r="I24" s="57"/>
      <c r="J24" s="57"/>
      <c r="K24" s="57"/>
      <c r="L24" s="57"/>
      <c r="M24" s="57"/>
      <c r="N24" s="57"/>
      <c r="O24" s="57"/>
      <c r="P24" s="57"/>
    </row>
    <row r="25" spans="1:16" s="4" customFormat="1" ht="41.25" customHeight="1">
      <c r="A25" s="90" t="s">
        <v>9</v>
      </c>
      <c r="B25" s="6">
        <f t="shared" si="0"/>
        <v>131281.988</v>
      </c>
      <c r="C25" s="21">
        <f>C26+C27</f>
        <v>65208.93</v>
      </c>
      <c r="D25" s="21">
        <f>D26+D27</f>
        <v>0</v>
      </c>
      <c r="E25" s="21">
        <f>E26+E27</f>
        <v>19264.908</v>
      </c>
      <c r="F25" s="22">
        <f>F26+F27</f>
        <v>46808.15</v>
      </c>
      <c r="G25" s="57"/>
      <c r="H25" s="57"/>
      <c r="I25" s="57"/>
      <c r="J25" s="57"/>
      <c r="K25" s="57"/>
      <c r="L25" s="57"/>
      <c r="M25" s="57"/>
      <c r="N25" s="57"/>
      <c r="O25" s="57"/>
      <c r="P25" s="57"/>
    </row>
    <row r="26" spans="1:16" s="4" customFormat="1" ht="18.75">
      <c r="A26" s="19" t="s">
        <v>25</v>
      </c>
      <c r="B26" s="6">
        <f t="shared" si="0"/>
        <v>102575.488</v>
      </c>
      <c r="C26" s="8">
        <f>январь!C26+февраль!C26+март!C26+апрель!C26+май!C26+июнь!C26+июль!C26+август!C26+сентябрь!C26+октябрь!C26+ноябрь!C26+декабрь!C26</f>
        <v>65208.93</v>
      </c>
      <c r="D26" s="8">
        <f>январь!D26+февраль!D26+март!D26+апрель!D26+май!D26+июнь!D26+июль!D26+август!D26+сентябрь!D26+октябрь!D26+ноябрь!D26+декабрь!D26</f>
        <v>0</v>
      </c>
      <c r="E26" s="8">
        <f>январь!E26+февраль!E26+март!E26+апрель!E26+май!E26+июнь!E26+июль!E26+август!E26+сентябрь!E26+октябрь!E26+ноябрь!E26+декабрь!E26</f>
        <v>19264.908</v>
      </c>
      <c r="F26" s="9">
        <f>январь!F26+февраль!F26+март!F26+апрель!F26+май!F26+июнь!F26+июль!F26+август!F26+сентябрь!F26+октябрь!F26+ноябрь!F26+декабрь!F26</f>
        <v>18101.649999999998</v>
      </c>
      <c r="G26" s="57"/>
      <c r="H26" s="57"/>
      <c r="I26" s="57"/>
      <c r="J26" s="57"/>
      <c r="K26" s="57"/>
      <c r="L26" s="57"/>
      <c r="M26" s="57"/>
      <c r="N26" s="57"/>
      <c r="O26" s="57"/>
      <c r="P26" s="57"/>
    </row>
    <row r="27" spans="1:16" s="4" customFormat="1" ht="18.75">
      <c r="A27" s="19" t="s">
        <v>22</v>
      </c>
      <c r="B27" s="6">
        <f t="shared" si="0"/>
        <v>28706.500000000004</v>
      </c>
      <c r="C27" s="15">
        <f>C28+C29</f>
        <v>0</v>
      </c>
      <c r="D27" s="15">
        <f>D28+D29</f>
        <v>0</v>
      </c>
      <c r="E27" s="15">
        <f>E28+E29</f>
        <v>0</v>
      </c>
      <c r="F27" s="16">
        <f>F28+F29</f>
        <v>28706.500000000004</v>
      </c>
      <c r="G27" s="57"/>
      <c r="H27" s="57"/>
      <c r="I27" s="57"/>
      <c r="J27" s="57"/>
      <c r="K27" s="57"/>
      <c r="L27" s="57"/>
      <c r="M27" s="57"/>
      <c r="N27" s="57"/>
      <c r="O27" s="57"/>
      <c r="P27" s="57"/>
    </row>
    <row r="28" spans="1:16" s="4" customFormat="1" ht="18.75">
      <c r="A28" s="19" t="s">
        <v>23</v>
      </c>
      <c r="B28" s="6">
        <f t="shared" si="0"/>
        <v>28401.421000000002</v>
      </c>
      <c r="C28" s="10">
        <f>январь!C28+февраль!C28+март!C28+апрель!C28+май!C28+июнь!C28+июль!C28+август!C28+сентябрь!C28+октябрь!C28+ноябрь!C28+декабрь!C28</f>
        <v>0</v>
      </c>
      <c r="D28" s="10">
        <f>январь!D28+февраль!D28+март!D28+апрель!D28+май!D28+июнь!D28+июль!D28+август!D28+сентябрь!D28+октябрь!D28+ноябрь!D28+декабрь!D28</f>
        <v>0</v>
      </c>
      <c r="E28" s="10">
        <f>январь!E28+февраль!E28+март!E28+апрель!E28+май!E28+июнь!E28+июль!E28+август!E28+сентябрь!E28+октябрь!E28+ноябрь!E28+декабрь!E28</f>
        <v>0</v>
      </c>
      <c r="F28" s="17">
        <f>январь!F28+февраль!F28+март!F28+апрель!F28+май!F28+июнь!F28+июль!F28+август!F28+сентябрь!F28+октябрь!F28+ноябрь!F28+декабрь!F28</f>
        <v>28401.421000000002</v>
      </c>
      <c r="G28" s="57"/>
      <c r="H28" s="57"/>
      <c r="I28" s="57"/>
      <c r="J28" s="57"/>
      <c r="K28" s="57"/>
      <c r="L28" s="57"/>
      <c r="M28" s="57"/>
      <c r="N28" s="57"/>
      <c r="O28" s="57"/>
      <c r="P28" s="57"/>
    </row>
    <row r="29" spans="1:16" s="4" customFormat="1" ht="18.75">
      <c r="A29" s="19" t="s">
        <v>24</v>
      </c>
      <c r="B29" s="6">
        <f t="shared" si="0"/>
        <v>305.079</v>
      </c>
      <c r="C29" s="10">
        <f>январь!C29+февраль!C29+март!C29+апрель!C29+май!C29+июнь!C29+июль!C29+август!C29+сентябрь!C29+октябрь!C29+ноябрь!C29+декабрь!C29</f>
        <v>0</v>
      </c>
      <c r="D29" s="10">
        <f>январь!D29+февраль!D29+март!D29+апрель!D29+май!D29+июнь!D29+июль!D29+август!D29+сентябрь!D29+октябрь!D29+ноябрь!D29+декабрь!D29</f>
        <v>0</v>
      </c>
      <c r="E29" s="10">
        <f>январь!E29+февраль!E29+март!E29+апрель!E29+май!E29+июнь!E29+июль!E29+август!E29+сентябрь!E29+октябрь!E29+ноябрь!E29+декабрь!E29</f>
        <v>0</v>
      </c>
      <c r="F29" s="17">
        <f>январь!F29+февраль!F29+март!F29+апрель!F29+май!F29+июнь!F29+июль!F29+август!F29+сентябрь!F29+октябрь!F29+ноябрь!F29+декабрь!F29</f>
        <v>305.079</v>
      </c>
      <c r="G29" s="57"/>
      <c r="H29" s="57"/>
      <c r="I29" s="57"/>
      <c r="J29" s="57"/>
      <c r="K29" s="57"/>
      <c r="L29" s="57"/>
      <c r="M29" s="57"/>
      <c r="N29" s="57"/>
      <c r="O29" s="57"/>
      <c r="P29" s="57"/>
    </row>
    <row r="30" spans="1:16" s="4" customFormat="1" ht="44.25" customHeight="1">
      <c r="A30" s="90" t="s">
        <v>10</v>
      </c>
      <c r="B30" s="6">
        <f t="shared" si="0"/>
        <v>1086.223</v>
      </c>
      <c r="C30" s="21">
        <f>C31+C32</f>
        <v>0</v>
      </c>
      <c r="D30" s="21">
        <f>D31+D32</f>
        <v>0</v>
      </c>
      <c r="E30" s="21">
        <f>E31+E32</f>
        <v>682.648</v>
      </c>
      <c r="F30" s="22">
        <f>F31+F32</f>
        <v>403.57500000000005</v>
      </c>
      <c r="G30" s="57"/>
      <c r="H30" s="57"/>
      <c r="I30" s="57"/>
      <c r="J30" s="57"/>
      <c r="K30" s="57"/>
      <c r="L30" s="57"/>
      <c r="M30" s="57"/>
      <c r="N30" s="57"/>
      <c r="O30" s="57"/>
      <c r="P30" s="57"/>
    </row>
    <row r="31" spans="1:16" s="4" customFormat="1" ht="22.5" customHeight="1">
      <c r="A31" s="19" t="s">
        <v>25</v>
      </c>
      <c r="B31" s="6">
        <f t="shared" si="0"/>
        <v>813.75</v>
      </c>
      <c r="C31" s="8">
        <f>январь!C31+февраль!C31+март!C31+апрель!C31+май!C31+июнь!C31+июль!C31+август!C31+сентябрь!C31+октябрь!C31+ноябрь!C31+декабрь!C31</f>
        <v>0</v>
      </c>
      <c r="D31" s="8">
        <f>январь!D31+февраль!D31+март!D31+апрель!D31+май!D31+июнь!D31+июль!D31+август!D31+сентябрь!D31+октябрь!D31+ноябрь!D31+декабрь!D31</f>
        <v>0</v>
      </c>
      <c r="E31" s="8">
        <f>январь!E31+февраль!E31+март!E31+апрель!E31+май!E31+июнь!E31+июль!E31+август!E31+сентябрь!E31+октябрь!E31+ноябрь!E31+декабрь!E31</f>
        <v>682.648</v>
      </c>
      <c r="F31" s="9">
        <f>январь!F31+февраль!F31+март!F31+апрель!F31+май!F31+июнь!F31+июль!F31+август!F31+сентябрь!F31+октябрь!F31+ноябрь!F31+декабрь!F31</f>
        <v>131.102</v>
      </c>
      <c r="G31" s="57"/>
      <c r="H31" s="57"/>
      <c r="I31" s="57"/>
      <c r="J31" s="57"/>
      <c r="K31" s="57"/>
      <c r="L31" s="57"/>
      <c r="M31" s="57"/>
      <c r="N31" s="57"/>
      <c r="O31" s="57"/>
      <c r="P31" s="57"/>
    </row>
    <row r="32" spans="1:16" s="4" customFormat="1" ht="22.5" customHeight="1">
      <c r="A32" s="19" t="s">
        <v>22</v>
      </c>
      <c r="B32" s="6">
        <f t="shared" si="0"/>
        <v>272.473</v>
      </c>
      <c r="C32" s="15">
        <f>C33+C34</f>
        <v>0</v>
      </c>
      <c r="D32" s="15">
        <f>D33+D34</f>
        <v>0</v>
      </c>
      <c r="E32" s="15">
        <f>E33+E34</f>
        <v>0</v>
      </c>
      <c r="F32" s="16">
        <f>F33+F34</f>
        <v>272.473</v>
      </c>
      <c r="G32" s="57"/>
      <c r="H32" s="57"/>
      <c r="I32" s="57"/>
      <c r="J32" s="57"/>
      <c r="K32" s="57"/>
      <c r="L32" s="57"/>
      <c r="M32" s="57"/>
      <c r="N32" s="57"/>
      <c r="O32" s="57"/>
      <c r="P32" s="57"/>
    </row>
    <row r="33" spans="1:16" s="4" customFormat="1" ht="22.5" customHeight="1">
      <c r="A33" s="19" t="s">
        <v>23</v>
      </c>
      <c r="B33" s="6">
        <f t="shared" si="0"/>
        <v>223.51500000000001</v>
      </c>
      <c r="C33" s="10">
        <f>январь!C33+февраль!C33+март!C33+апрель!C33+май!C33+июнь!C33+июль!C33+август!C33+сентябрь!C33+октябрь!C33+ноябрь!C33+декабрь!C33</f>
        <v>0</v>
      </c>
      <c r="D33" s="10">
        <f>январь!D33+февраль!D33+март!D33+апрель!D33+май!D33+июнь!D33+июль!D33+август!D33+сентябрь!D33+октябрь!D33+ноябрь!D33+декабрь!D33</f>
        <v>0</v>
      </c>
      <c r="E33" s="10">
        <f>январь!E33+февраль!E33+март!E33+апрель!E33+май!E33+июнь!E33+июль!E33+август!E33+сентябрь!E33+октябрь!E33+ноябрь!E33+декабрь!E33</f>
        <v>0</v>
      </c>
      <c r="F33" s="17">
        <f>январь!F33+февраль!F33+март!F33+апрель!F33+май!F33+июнь!F33+июль!F33+август!F33+сентябрь!F33+октябрь!F33+ноябрь!F33+декабрь!F33</f>
        <v>223.51500000000001</v>
      </c>
      <c r="G33" s="57"/>
      <c r="H33" s="57"/>
      <c r="I33" s="57"/>
      <c r="J33" s="57"/>
      <c r="K33" s="57"/>
      <c r="L33" s="57"/>
      <c r="M33" s="57"/>
      <c r="N33" s="57"/>
      <c r="O33" s="57"/>
      <c r="P33" s="57"/>
    </row>
    <row r="34" spans="1:16" s="4" customFormat="1" ht="22.5" customHeight="1">
      <c r="A34" s="19" t="s">
        <v>24</v>
      </c>
      <c r="B34" s="6">
        <f t="shared" si="0"/>
        <v>48.958</v>
      </c>
      <c r="C34" s="10">
        <f>январь!C34+февраль!C34+март!C34+апрель!C34+май!C34+июнь!C34+июль!C34+август!C34+сентябрь!C34+октябрь!C34+ноябрь!C34+декабрь!C34</f>
        <v>0</v>
      </c>
      <c r="D34" s="10">
        <f>январь!D34+февраль!D34+март!D34+апрель!D34+май!D34+июнь!D34+июль!D34+август!D34+сентябрь!D34+октябрь!D34+ноябрь!D34+декабрь!D34</f>
        <v>0</v>
      </c>
      <c r="E34" s="10">
        <f>январь!E34+февраль!E34+март!E34+апрель!E34+май!E34+июнь!E34+июль!E34+август!E34+сентябрь!E34+октябрь!E34+ноябрь!E34+декабрь!E34</f>
        <v>0</v>
      </c>
      <c r="F34" s="17">
        <f>январь!F34+февраль!F34+март!F34+апрель!F34+май!F34+июнь!F34+июль!F34+август!F34+сентябрь!F34+октябрь!F34+ноябрь!F34+декабрь!F34</f>
        <v>48.958</v>
      </c>
      <c r="G34" s="57"/>
      <c r="H34" s="57"/>
      <c r="I34" s="57"/>
      <c r="J34" s="57"/>
      <c r="K34" s="57"/>
      <c r="L34" s="57"/>
      <c r="M34" s="57"/>
      <c r="N34" s="57"/>
      <c r="O34" s="57"/>
      <c r="P34" s="57"/>
    </row>
    <row r="35" spans="1:6" s="3" customFormat="1" ht="25.5" customHeight="1">
      <c r="A35" s="90" t="s">
        <v>40</v>
      </c>
      <c r="B35" s="6">
        <f aca="true" t="shared" si="1" ref="B35:B44">C35+D35+E35+F35</f>
        <v>0</v>
      </c>
      <c r="C35" s="21">
        <f>C36+C37</f>
        <v>0</v>
      </c>
      <c r="D35" s="21">
        <f>D36+D37</f>
        <v>0</v>
      </c>
      <c r="E35" s="21">
        <f>E36+E37</f>
        <v>0</v>
      </c>
      <c r="F35" s="22">
        <f>F36+F37</f>
        <v>0</v>
      </c>
    </row>
    <row r="36" spans="1:6" s="3" customFormat="1" ht="23.25" customHeight="1">
      <c r="A36" s="19" t="s">
        <v>25</v>
      </c>
      <c r="B36" s="6">
        <f t="shared" si="1"/>
        <v>0</v>
      </c>
      <c r="C36" s="8">
        <f>январь!C36+февраль!C36+март!C36+апрель!C36+май!C36+июнь!C36+июль!C36+август!C36+сентябрь!C36+октябрь!C36+ноябрь!C36+декабрь!C36</f>
        <v>0</v>
      </c>
      <c r="D36" s="8">
        <f>январь!D36+февраль!D36+март!D36+апрель!D36+май!D36+июнь!D36+июль!D36+август!D36+сентябрь!D36+октябрь!D36+ноябрь!D36+декабрь!D36</f>
        <v>0</v>
      </c>
      <c r="E36" s="8">
        <f>январь!E36+февраль!E36+март!E36+апрель!E36+май!E36+июнь!E36+июль!E36+август!E36+сентябрь!E36+октябрь!E36+ноябрь!E36+декабрь!E36</f>
        <v>0</v>
      </c>
      <c r="F36" s="9">
        <f>январь!F36+февраль!F36+март!F36+апрель!F36+май!F36+июнь!F36+июль!F36+август!F36+сентябрь!F36+октябрь!F36+ноябрь!F36+декабрь!F36</f>
        <v>0</v>
      </c>
    </row>
    <row r="37" spans="1:6" s="3" customFormat="1" ht="23.25" customHeight="1">
      <c r="A37" s="19" t="s">
        <v>22</v>
      </c>
      <c r="B37" s="6">
        <f t="shared" si="1"/>
        <v>0</v>
      </c>
      <c r="C37" s="15">
        <f>C38+C39</f>
        <v>0</v>
      </c>
      <c r="D37" s="15">
        <f>D38+D39</f>
        <v>0</v>
      </c>
      <c r="E37" s="15">
        <f>E38+E39</f>
        <v>0</v>
      </c>
      <c r="F37" s="16">
        <f>F38+F39</f>
        <v>0</v>
      </c>
    </row>
    <row r="38" spans="1:6" s="3" customFormat="1" ht="23.25" customHeight="1">
      <c r="A38" s="19" t="s">
        <v>23</v>
      </c>
      <c r="B38" s="6">
        <f t="shared" si="1"/>
        <v>0</v>
      </c>
      <c r="C38" s="10">
        <f>январь!C38+февраль!C38+март!C38+апрель!C38+май!C38+июнь!C38+июль!C38+август!C38+сентябрь!C38+октябрь!C38+ноябрь!C38+декабрь!C38</f>
        <v>0</v>
      </c>
      <c r="D38" s="10">
        <f>январь!D38+февраль!D38+март!D38+апрель!D38+май!D38+июнь!D38+июль!D38+август!D38+сентябрь!D38+октябрь!D38+ноябрь!D38+декабрь!D38</f>
        <v>0</v>
      </c>
      <c r="E38" s="10">
        <f>январь!E38+февраль!E38+март!E38+апрель!E38+май!E38+июнь!E38+июль!E38+август!E38+сентябрь!E38+октябрь!E38+ноябрь!E38+декабрь!E38</f>
        <v>0</v>
      </c>
      <c r="F38" s="17">
        <f>январь!F38+февраль!F38+март!F38+апрель!F38+май!F38+июнь!F38+июль!F38+август!F38+сентябрь!F38+октябрь!F38+ноябрь!F38+декабрь!F38</f>
        <v>0</v>
      </c>
    </row>
    <row r="39" spans="1:6" s="3" customFormat="1" ht="23.25" customHeight="1">
      <c r="A39" s="19" t="s">
        <v>24</v>
      </c>
      <c r="B39" s="6">
        <f t="shared" si="1"/>
        <v>0</v>
      </c>
      <c r="C39" s="10">
        <f>январь!C39+февраль!C39+март!C39+апрель!C39+май!C39+июнь!C39+июль!C39+август!C39+сентябрь!C39+октябрь!C39+ноябрь!C39+декабрь!C39</f>
        <v>0</v>
      </c>
      <c r="D39" s="10">
        <f>январь!D39+февраль!D39+март!D39+апрель!D39+май!D39+июнь!D39+июль!D39+август!D39+сентябрь!D39+октябрь!D39+ноябрь!D39+декабрь!D39</f>
        <v>0</v>
      </c>
      <c r="E39" s="10">
        <f>январь!E39+февраль!E39+март!E39+апрель!E39+май!E39+июнь!E39+июль!E39+август!E39+сентябрь!E39+октябрь!E39+ноябрь!E39+декабрь!E39</f>
        <v>0</v>
      </c>
      <c r="F39" s="17">
        <f>январь!F39+февраль!F39+март!F39+апрель!F39+май!F39+июнь!F39+июль!F39+август!F39+сентябрь!F39+октябрь!F39+ноябрь!F39+декабрь!F39</f>
        <v>0</v>
      </c>
    </row>
    <row r="40" spans="1:6" s="3" customFormat="1" ht="42" customHeight="1">
      <c r="A40" s="90" t="s">
        <v>41</v>
      </c>
      <c r="B40" s="6">
        <f t="shared" si="1"/>
        <v>0</v>
      </c>
      <c r="C40" s="21">
        <f>C41+C42</f>
        <v>0</v>
      </c>
      <c r="D40" s="21">
        <f>D41+D42</f>
        <v>0</v>
      </c>
      <c r="E40" s="21">
        <f>E41+E42</f>
        <v>0</v>
      </c>
      <c r="F40" s="22">
        <f>F41+F42</f>
        <v>0</v>
      </c>
    </row>
    <row r="41" spans="1:6" s="3" customFormat="1" ht="19.5" customHeight="1">
      <c r="A41" s="19" t="s">
        <v>25</v>
      </c>
      <c r="B41" s="6">
        <f t="shared" si="1"/>
        <v>0</v>
      </c>
      <c r="C41" s="8">
        <f>январь!C41+февраль!C41+март!C41+апрель!C41+май!C41+июнь!C41+июль!C41+август!C41+сентябрь!C41+октябрь!C41+ноябрь!C41+декабрь!C41</f>
        <v>0</v>
      </c>
      <c r="D41" s="8">
        <f>январь!D41+февраль!D41+март!D41+апрель!D41+май!D41+июнь!D41+июль!D41+август!D41+сентябрь!D41+октябрь!D41+ноябрь!D41+декабрь!D41</f>
        <v>0</v>
      </c>
      <c r="E41" s="8">
        <f>январь!E41+февраль!E41+март!E41+апрель!E41+май!E41+июнь!E41+июль!E41+август!E41+сентябрь!E41+октябрь!E41+ноябрь!E41+декабрь!E41</f>
        <v>0</v>
      </c>
      <c r="F41" s="9">
        <f>январь!F41+февраль!F41+март!F41+апрель!F41+май!F41+июнь!F41+июль!F41+август!F41+сентябрь!F41+октябрь!F41+ноябрь!F41+декабрь!F41</f>
        <v>0</v>
      </c>
    </row>
    <row r="42" spans="1:6" s="3" customFormat="1" ht="19.5" customHeight="1">
      <c r="A42" s="19" t="s">
        <v>22</v>
      </c>
      <c r="B42" s="6">
        <f t="shared" si="1"/>
        <v>0</v>
      </c>
      <c r="C42" s="15">
        <f>C43+C44</f>
        <v>0</v>
      </c>
      <c r="D42" s="15">
        <f>D43+D44</f>
        <v>0</v>
      </c>
      <c r="E42" s="15">
        <f>E43+E44</f>
        <v>0</v>
      </c>
      <c r="F42" s="16">
        <f>F43+F44</f>
        <v>0</v>
      </c>
    </row>
    <row r="43" spans="1:6" s="3" customFormat="1" ht="19.5" customHeight="1">
      <c r="A43" s="19" t="s">
        <v>23</v>
      </c>
      <c r="B43" s="6">
        <f t="shared" si="1"/>
        <v>0</v>
      </c>
      <c r="C43" s="10">
        <f>январь!C43+февраль!C43+март!C43+апрель!C43+май!C43+июнь!C43+июль!C43+август!C43+сентябрь!C43+октябрь!C43+ноябрь!C43+декабрь!C43</f>
        <v>0</v>
      </c>
      <c r="D43" s="10">
        <f>январь!D43+февраль!D43+март!D43+апрель!D43+май!D43+июнь!D43+июль!D43+август!D43+сентябрь!D43+октябрь!D43+ноябрь!D43+декабрь!D43</f>
        <v>0</v>
      </c>
      <c r="E43" s="10">
        <f>январь!E43+февраль!E43+март!E43+апрель!E43+май!E43+июнь!E43+июль!E43+август!E43+сентябрь!E43+октябрь!E43+ноябрь!E43+декабрь!E43</f>
        <v>0</v>
      </c>
      <c r="F43" s="17">
        <f>январь!F43+февраль!F43+март!F43+апрель!F43+май!F43+июнь!F43+июль!F43+август!F43+сентябрь!F43+октябрь!F43+ноябрь!F43+декабрь!F43</f>
        <v>0</v>
      </c>
    </row>
    <row r="44" spans="1:6" s="3" customFormat="1" ht="19.5" customHeight="1">
      <c r="A44" s="19" t="s">
        <v>24</v>
      </c>
      <c r="B44" s="6">
        <f t="shared" si="1"/>
        <v>0</v>
      </c>
      <c r="C44" s="10">
        <f>январь!C44+февраль!C44+март!C44+апрель!C44+май!C44+июнь!C44+июль!C44+август!C44+сентябрь!C44+октябрь!C44+ноябрь!C44+декабрь!C44</f>
        <v>0</v>
      </c>
      <c r="D44" s="10">
        <f>январь!D44+февраль!D44+март!D44+апрель!D44+май!D44+июнь!D44+июль!D44+август!D44+сентябрь!D44+октябрь!D44+ноябрь!D44+декабрь!D44</f>
        <v>0</v>
      </c>
      <c r="E44" s="10">
        <f>январь!E44+февраль!E44+март!E44+апрель!E44+май!E44+июнь!E44+июль!E44+август!E44+сентябрь!E44+октябрь!E44+ноябрь!E44+декабрь!E44</f>
        <v>0</v>
      </c>
      <c r="F44" s="17">
        <f>январь!F44+февраль!F44+март!F44+апрель!F44+май!F44+июнь!F44+июль!F44+август!F44+сентябрь!F44+октябрь!F44+ноябрь!F44+декабрь!F44</f>
        <v>0</v>
      </c>
    </row>
    <row r="45" spans="1:6" s="4" customFormat="1" ht="22.5" customHeight="1">
      <c r="A45" s="90" t="s">
        <v>11</v>
      </c>
      <c r="B45" s="6">
        <f t="shared" si="0"/>
        <v>29364.593999999997</v>
      </c>
      <c r="C45" s="21">
        <f>C46+C47</f>
        <v>0</v>
      </c>
      <c r="D45" s="21">
        <f>D46+D47</f>
        <v>0</v>
      </c>
      <c r="E45" s="21">
        <f>E46+E47</f>
        <v>22581.729999999996</v>
      </c>
      <c r="F45" s="22">
        <f>F46+F47</f>
        <v>6782.864</v>
      </c>
    </row>
    <row r="46" spans="1:6" s="4" customFormat="1" ht="22.5" customHeight="1">
      <c r="A46" s="19" t="s">
        <v>25</v>
      </c>
      <c r="B46" s="6">
        <f t="shared" si="0"/>
        <v>24166.438999999995</v>
      </c>
      <c r="C46" s="8">
        <f>январь!C46+февраль!C46+март!C46+апрель!C46+май!C46+июнь!C46+июль!C46+август!C46+сентябрь!C46+октябрь!C46+ноябрь!C46+декабрь!C46</f>
        <v>0</v>
      </c>
      <c r="D46" s="8">
        <f>январь!D46+февраль!D46+март!D46+апрель!D46+май!D46+июнь!D46+июль!D46+август!D46+сентябрь!D46+октябрь!D46+ноябрь!D46+декабрь!D46</f>
        <v>0</v>
      </c>
      <c r="E46" s="8">
        <f>январь!E46+февраль!E46+март!E46+апрель!E46+май!E46+июнь!E46+июль!E46+август!E46+сентябрь!E46+октябрь!E46+ноябрь!E46+декабрь!E46</f>
        <v>22422.955999999995</v>
      </c>
      <c r="F46" s="9">
        <f>январь!F46+февраль!F46+март!F46+апрель!F46+май!F46+июнь!F46+июль!F46+август!F46+сентябрь!F46+октябрь!F46+ноябрь!F46+декабрь!F46</f>
        <v>1743.4829999999997</v>
      </c>
    </row>
    <row r="47" spans="1:6" s="4" customFormat="1" ht="22.5" customHeight="1">
      <c r="A47" s="19" t="s">
        <v>22</v>
      </c>
      <c r="B47" s="6">
        <f t="shared" si="0"/>
        <v>5198.155000000001</v>
      </c>
      <c r="C47" s="15">
        <f>C48+C49</f>
        <v>0</v>
      </c>
      <c r="D47" s="15">
        <f>D48+D49</f>
        <v>0</v>
      </c>
      <c r="E47" s="15">
        <f>E48+E49</f>
        <v>158.774</v>
      </c>
      <c r="F47" s="16">
        <f>F48+F49</f>
        <v>5039.381</v>
      </c>
    </row>
    <row r="48" spans="1:6" s="4" customFormat="1" ht="22.5" customHeight="1">
      <c r="A48" s="19" t="s">
        <v>23</v>
      </c>
      <c r="B48" s="6">
        <f t="shared" si="0"/>
        <v>4072.373</v>
      </c>
      <c r="C48" s="10">
        <f>январь!C48+февраль!C48+март!C48+апрель!C48+май!C48+июнь!C48+июль!C48+август!C48+сентябрь!C48+октябрь!C48+ноябрь!C48+декабрь!C48</f>
        <v>0</v>
      </c>
      <c r="D48" s="10">
        <f>январь!D48+февраль!D48+март!D48+апрель!D48+май!D48+июнь!D48+июль!D48+август!D48+сентябрь!D48+октябрь!D48+ноябрь!D48+декабрь!D48</f>
        <v>0</v>
      </c>
      <c r="E48" s="10">
        <f>январь!E48+февраль!E48+март!E48+апрель!E48+май!E48+июнь!E48+июль!E48+август!E48+сентябрь!E48+октябрь!E48+ноябрь!E48+декабрь!E48</f>
        <v>141.542</v>
      </c>
      <c r="F48" s="17">
        <f>январь!F48+февраль!F48+март!F48+апрель!F48+май!F48+июнь!F48+июль!F48+август!F48+сентябрь!F48+октябрь!F48+ноябрь!F48+декабрь!F48</f>
        <v>3930.831</v>
      </c>
    </row>
    <row r="49" spans="1:6" s="4" customFormat="1" ht="22.5" customHeight="1">
      <c r="A49" s="19" t="s">
        <v>24</v>
      </c>
      <c r="B49" s="6">
        <f t="shared" si="0"/>
        <v>1125.782</v>
      </c>
      <c r="C49" s="10">
        <f>январь!C49+февраль!C49+март!C49+апрель!C49+май!C49+июнь!C49+июль!C49+август!C49+сентябрь!C49+октябрь!C49+ноябрь!C49+декабрь!C49</f>
        <v>0</v>
      </c>
      <c r="D49" s="10">
        <f>январь!D49+февраль!D49+март!D49+апрель!D49+май!D49+июнь!D49+июль!D49+август!D49+сентябрь!D49+октябрь!D49+ноябрь!D49+декабрь!D49</f>
        <v>0</v>
      </c>
      <c r="E49" s="10">
        <f>январь!E49+февраль!E49+март!E49+апрель!E49+май!E49+июнь!E49+июль!E49+август!E49+сентябрь!E49+октябрь!E49+ноябрь!E49+декабрь!E49</f>
        <v>17.232</v>
      </c>
      <c r="F49" s="17">
        <f>январь!F49+февраль!F49+март!F49+апрель!F49+май!F49+июнь!F49+июль!F49+август!F49+сентябрь!F49+октябрь!F49+ноябрь!F49+декабрь!F49</f>
        <v>1108.55</v>
      </c>
    </row>
    <row r="50" spans="1:6" s="4" customFormat="1" ht="22.5" customHeight="1">
      <c r="A50" s="90" t="s">
        <v>5</v>
      </c>
      <c r="B50" s="6">
        <f t="shared" si="0"/>
        <v>24631.268000000004</v>
      </c>
      <c r="C50" s="21">
        <f>C51+C52</f>
        <v>4203.624</v>
      </c>
      <c r="D50" s="21">
        <f>D51+D52</f>
        <v>0</v>
      </c>
      <c r="E50" s="21">
        <f>E51+E52</f>
        <v>10141.101000000002</v>
      </c>
      <c r="F50" s="22">
        <f>F51+F52</f>
        <v>10286.543000000001</v>
      </c>
    </row>
    <row r="51" spans="1:6" s="4" customFormat="1" ht="22.5" customHeight="1">
      <c r="A51" s="19" t="s">
        <v>25</v>
      </c>
      <c r="B51" s="6">
        <f t="shared" si="0"/>
        <v>13506.618</v>
      </c>
      <c r="C51" s="8">
        <f>январь!C51+февраль!C51+март!C51+апрель!C51+май!C51+июнь!C51+июль!C51+август!C51+сентябрь!C51+октябрь!C51+ноябрь!C51+декабрь!C51</f>
        <v>4203.624</v>
      </c>
      <c r="D51" s="8">
        <f>январь!D51+февраль!D51+март!D51+апрель!D51+май!D51+июнь!D51+июль!D51+август!D51+сентябрь!D51+октябрь!D51+ноябрь!D51+декабрь!D51</f>
        <v>0</v>
      </c>
      <c r="E51" s="8">
        <f>январь!E51+февраль!E51+март!E51+апрель!E51+май!E51+июнь!E51+июль!E51+август!E51+сентябрь!E51+октябрь!E51+ноябрь!E51+декабрь!E51</f>
        <v>4544.216</v>
      </c>
      <c r="F51" s="9">
        <f>январь!F51+февраль!F51+март!F51+апрель!F51+май!F51+июнь!F51+июль!F51+август!F51+сентябрь!F51+октябрь!F51+ноябрь!F51+декабрь!F51</f>
        <v>4758.778</v>
      </c>
    </row>
    <row r="52" spans="1:6" s="4" customFormat="1" ht="22.5" customHeight="1">
      <c r="A52" s="19" t="s">
        <v>22</v>
      </c>
      <c r="B52" s="6">
        <f t="shared" si="0"/>
        <v>11124.650000000001</v>
      </c>
      <c r="C52" s="15">
        <f>C53+C54</f>
        <v>0</v>
      </c>
      <c r="D52" s="15">
        <f>D53+D54</f>
        <v>0</v>
      </c>
      <c r="E52" s="15">
        <f>E53+E54</f>
        <v>5596.885000000001</v>
      </c>
      <c r="F52" s="16">
        <f>F53+F54</f>
        <v>5527.765</v>
      </c>
    </row>
    <row r="53" spans="1:6" s="4" customFormat="1" ht="22.5" customHeight="1">
      <c r="A53" s="19" t="s">
        <v>23</v>
      </c>
      <c r="B53" s="6">
        <f t="shared" si="0"/>
        <v>11113.370000000003</v>
      </c>
      <c r="C53" s="10">
        <f>январь!C53+февраль!C53+март!C53+апрель!C53+май!C53+июнь!C53+июль!C53+август!C53+сентябрь!C53+октябрь!C53+ноябрь!C53+декабрь!C53</f>
        <v>0</v>
      </c>
      <c r="D53" s="10">
        <f>январь!D53+февраль!D53+март!D53+апрель!D53+май!D53+июнь!D53+июль!D53+август!D53+сентябрь!D53+октябрь!D53+ноябрь!D53+декабрь!D53</f>
        <v>0</v>
      </c>
      <c r="E53" s="10">
        <f>январь!E53+февраль!E53+март!E53+апрель!E53+май!E53+июнь!E53+июль!E53+август!E53+сентябрь!E53+октябрь!E53+ноябрь!E53+декабрь!E53</f>
        <v>5585.605000000001</v>
      </c>
      <c r="F53" s="17">
        <f>январь!F53+февраль!F53+март!F53+апрель!F53+май!F53+июнь!F53+июль!F53+август!F53+сентябрь!F53+октябрь!F53+ноябрь!F53+декабрь!F53</f>
        <v>5527.765</v>
      </c>
    </row>
    <row r="54" spans="1:6" s="4" customFormat="1" ht="22.5" customHeight="1">
      <c r="A54" s="19" t="s">
        <v>24</v>
      </c>
      <c r="B54" s="6">
        <f t="shared" si="0"/>
        <v>11.28</v>
      </c>
      <c r="C54" s="10">
        <f>январь!C54+февраль!C54+март!C54+апрель!C54+май!C54+июнь!C54+июль!C54+август!C54+сентябрь!C54+октябрь!C54+ноябрь!C54+декабрь!C54</f>
        <v>0</v>
      </c>
      <c r="D54" s="10">
        <f>январь!D54+февраль!D54+март!D54+апрель!D54+май!D54+июнь!D54+июль!D54+август!D54+сентябрь!D54+октябрь!D54+ноябрь!D54+декабрь!D54</f>
        <v>0</v>
      </c>
      <c r="E54" s="10">
        <f>январь!E54+февраль!E54+март!E54+апрель!E54+май!E54+июнь!E54+июль!E54+август!E54+сентябрь!E54+октябрь!E54+ноябрь!E54+декабрь!E54</f>
        <v>11.28</v>
      </c>
      <c r="F54" s="17">
        <f>январь!F54+февраль!F54+март!F54+апрель!F54+май!F54+июнь!F54+июль!F54+август!F54+сентябрь!F54+октябрь!F54+ноябрь!F54+декабрь!F54</f>
        <v>0</v>
      </c>
    </row>
    <row r="55" spans="1:6" s="4" customFormat="1" ht="60.75" customHeight="1">
      <c r="A55" s="90" t="s">
        <v>12</v>
      </c>
      <c r="B55" s="6">
        <f t="shared" si="0"/>
        <v>68571.625</v>
      </c>
      <c r="C55" s="21">
        <f>C56+C57</f>
        <v>0</v>
      </c>
      <c r="D55" s="21">
        <f>D56+D57</f>
        <v>0</v>
      </c>
      <c r="E55" s="21">
        <f>E56+E57</f>
        <v>16325.040999999997</v>
      </c>
      <c r="F55" s="22">
        <f>F56+F57</f>
        <v>52246.584</v>
      </c>
    </row>
    <row r="56" spans="1:6" s="4" customFormat="1" ht="22.5" customHeight="1">
      <c r="A56" s="19" t="s">
        <v>25</v>
      </c>
      <c r="B56" s="6">
        <f t="shared" si="0"/>
        <v>34760.767</v>
      </c>
      <c r="C56" s="8">
        <f>январь!C56+февраль!C56+март!C56+апрель!C56+май!C56+июнь!C56+июль!C56+август!C56+сентябрь!C56+октябрь!C56+ноябрь!C56+декабрь!C56</f>
        <v>0</v>
      </c>
      <c r="D56" s="8">
        <f>январь!D56+февраль!D56+март!D56+апрель!D56+май!D56+июнь!D56+июль!D56+август!D56+сентябрь!D56+октябрь!D56+ноябрь!D56+декабрь!D56</f>
        <v>0</v>
      </c>
      <c r="E56" s="8">
        <f>январь!E56+февраль!E56+март!E56+апрель!E56+май!E56+июнь!E56+июль!E56+август!E56+сентябрь!E56+октябрь!E56+ноябрь!E56+декабрь!E56</f>
        <v>14567.142999999998</v>
      </c>
      <c r="F56" s="9">
        <f>январь!F56+февраль!F56+март!F56+апрель!F56+май!F56+июнь!F56+июль!F56+август!F56+сентябрь!F56+октябрь!F56+ноябрь!F56+декабрь!F56</f>
        <v>20193.624000000003</v>
      </c>
    </row>
    <row r="57" spans="1:6" s="4" customFormat="1" ht="22.5" customHeight="1">
      <c r="A57" s="19" t="s">
        <v>22</v>
      </c>
      <c r="B57" s="6">
        <f t="shared" si="0"/>
        <v>33810.858</v>
      </c>
      <c r="C57" s="15">
        <f>C58+C59</f>
        <v>0</v>
      </c>
      <c r="D57" s="15">
        <f>D58+D59</f>
        <v>0</v>
      </c>
      <c r="E57" s="15">
        <f>E58+E59</f>
        <v>1757.898</v>
      </c>
      <c r="F57" s="16">
        <f>F58+F59</f>
        <v>32052.96</v>
      </c>
    </row>
    <row r="58" spans="1:6" s="4" customFormat="1" ht="22.5" customHeight="1">
      <c r="A58" s="19" t="s">
        <v>23</v>
      </c>
      <c r="B58" s="6">
        <f t="shared" si="0"/>
        <v>8082.813</v>
      </c>
      <c r="C58" s="10">
        <f>январь!C58+февраль!C58+март!C58+апрель!C58+май!C58+июнь!C58+июль!C58+август!C58+сентябрь!C58+октябрь!C58+ноябрь!C58+декабрь!C58</f>
        <v>0</v>
      </c>
      <c r="D58" s="10">
        <f>январь!D58+февраль!D58+март!D58+апрель!D58+май!D58+июнь!D58+июль!D58+август!D58+сентябрь!D58+октябрь!D58+ноябрь!D58+декабрь!D58</f>
        <v>0</v>
      </c>
      <c r="E58" s="10">
        <f>январь!E58+февраль!E58+март!E58+апрель!E58+май!E58+июнь!E58+июль!E58+август!E58+сентябрь!E58+октябрь!E58+ноябрь!E58+декабрь!E58</f>
        <v>324.77299999999997</v>
      </c>
      <c r="F58" s="17">
        <f>январь!F58+февраль!F58+март!F58+апрель!F58+май!F58+июнь!F58+июль!F58+август!F58+сентябрь!F58+октябрь!F58+ноябрь!F58+декабрь!F58</f>
        <v>7758.04</v>
      </c>
    </row>
    <row r="59" spans="1:6" s="4" customFormat="1" ht="22.5" customHeight="1">
      <c r="A59" s="19" t="s">
        <v>24</v>
      </c>
      <c r="B59" s="6">
        <f t="shared" si="0"/>
        <v>25728.045</v>
      </c>
      <c r="C59" s="10">
        <f>январь!C59+февраль!C59+март!C59+апрель!C59+май!C59+июнь!C59+июль!C59+август!C59+сентябрь!C59+октябрь!C59+ноябрь!C59+декабрь!C59</f>
        <v>0</v>
      </c>
      <c r="D59" s="10">
        <f>январь!D59+февраль!D59+март!D59+апрель!D59+май!D59+июнь!D59+июль!D59+август!D59+сентябрь!D59+октябрь!D59+ноябрь!D59+декабрь!D59</f>
        <v>0</v>
      </c>
      <c r="E59" s="10">
        <f>январь!E59+февраль!E59+март!E59+апрель!E59+май!E59+июнь!E59+июль!E59+август!E59+сентябрь!E59+октябрь!E59+ноябрь!E59+декабрь!E59</f>
        <v>1433.125</v>
      </c>
      <c r="F59" s="17">
        <f>январь!F59+февраль!F59+март!F59+апрель!F59+май!F59+июнь!F59+июль!F59+август!F59+сентябрь!F59+октябрь!F59+ноябрь!F59+декабрь!F59</f>
        <v>24294.92</v>
      </c>
    </row>
    <row r="60" spans="1:6" s="4" customFormat="1" ht="22.5" customHeight="1">
      <c r="A60" s="39" t="s">
        <v>13</v>
      </c>
      <c r="B60" s="6">
        <f t="shared" si="0"/>
        <v>1921.658</v>
      </c>
      <c r="C60" s="21">
        <f>C61+C62</f>
        <v>0</v>
      </c>
      <c r="D60" s="21">
        <f>D61+D62</f>
        <v>0</v>
      </c>
      <c r="E60" s="21">
        <f>E61+E62</f>
        <v>968.454</v>
      </c>
      <c r="F60" s="22">
        <f>F61+F62</f>
        <v>953.204</v>
      </c>
    </row>
    <row r="61" spans="1:6" s="4" customFormat="1" ht="22.5" customHeight="1">
      <c r="A61" s="19" t="s">
        <v>25</v>
      </c>
      <c r="B61" s="6">
        <f t="shared" si="0"/>
        <v>1921.658</v>
      </c>
      <c r="C61" s="8">
        <f>январь!C61+февраль!C61+март!C61+апрель!C61+май!C61+июнь!C61+июль!C61+август!C61+сентябрь!C61+октябрь!C61+ноябрь!C61+декабрь!C61</f>
        <v>0</v>
      </c>
      <c r="D61" s="8">
        <f>январь!D61+февраль!D61+март!D61+апрель!D61+май!D61+июнь!D61+июль!D61+август!D61+сентябрь!D61+октябрь!D61+ноябрь!D61+декабрь!D61</f>
        <v>0</v>
      </c>
      <c r="E61" s="8">
        <f>январь!E61+февраль!E61+март!E61+апрель!E61+май!E61+июнь!E61+июль!E61+август!E61+сентябрь!E61+октябрь!E61+ноябрь!E61+декабрь!E61</f>
        <v>968.454</v>
      </c>
      <c r="F61" s="9">
        <f>январь!F61+февраль!F61+март!F61+апрель!F61+май!F61+июнь!F61+июль!F61+август!F61+сентябрь!F61+октябрь!F61+ноябрь!F61+декабрь!F61</f>
        <v>953.204</v>
      </c>
    </row>
    <row r="62" spans="1:6" s="4" customFormat="1" ht="22.5" customHeight="1">
      <c r="A62" s="19" t="s">
        <v>22</v>
      </c>
      <c r="B62" s="6">
        <f t="shared" si="0"/>
        <v>0</v>
      </c>
      <c r="C62" s="15">
        <f>C63+C64</f>
        <v>0</v>
      </c>
      <c r="D62" s="15">
        <f>D63+D64</f>
        <v>0</v>
      </c>
      <c r="E62" s="15">
        <f>E63+E64</f>
        <v>0</v>
      </c>
      <c r="F62" s="16">
        <f>F63+F64</f>
        <v>0</v>
      </c>
    </row>
    <row r="63" spans="1:6" s="4" customFormat="1" ht="22.5" customHeight="1">
      <c r="A63" s="19" t="s">
        <v>23</v>
      </c>
      <c r="B63" s="6">
        <f t="shared" si="0"/>
        <v>0</v>
      </c>
      <c r="C63" s="10">
        <f>январь!C63+февраль!C63+март!C63+апрель!C63+май!C63+июнь!C63+июль!C63+август!C63+сентябрь!C63+октябрь!C63+ноябрь!C63+декабрь!C63</f>
        <v>0</v>
      </c>
      <c r="D63" s="10">
        <f>январь!D63+февраль!D63+март!D63+апрель!D63+май!D63+июнь!D63+июль!D63+август!D63+сентябрь!D63+октябрь!D63+ноябрь!D63+декабрь!D63</f>
        <v>0</v>
      </c>
      <c r="E63" s="10">
        <f>январь!E63+февраль!E63+март!E63+апрель!E63+май!E63+июнь!E63+июль!E63+август!E63+сентябрь!E63+октябрь!E63+ноябрь!E63+декабрь!E63</f>
        <v>0</v>
      </c>
      <c r="F63" s="17">
        <f>январь!F63+февраль!F63+март!F63+апрель!F63+май!F63+июнь!F63+июль!F63+август!F63+сентябрь!F63+октябрь!F63+ноябрь!F63+декабрь!F63</f>
        <v>0</v>
      </c>
    </row>
    <row r="64" spans="1:6" s="4" customFormat="1" ht="22.5" customHeight="1">
      <c r="A64" s="19" t="s">
        <v>24</v>
      </c>
      <c r="B64" s="6">
        <f t="shared" si="0"/>
        <v>0</v>
      </c>
      <c r="C64" s="10">
        <f>январь!C64+февраль!C64+март!C64+апрель!C64+май!C64+июнь!C64+июль!C64+август!C64+сентябрь!C64+октябрь!C64+ноябрь!C64+декабрь!C64</f>
        <v>0</v>
      </c>
      <c r="D64" s="10">
        <f>январь!D64+февраль!D64+март!D64+апрель!D64+май!D64+июнь!D64+июль!D64+август!D64+сентябрь!D64+октябрь!D64+ноябрь!D64+декабрь!D64</f>
        <v>0</v>
      </c>
      <c r="E64" s="10">
        <f>январь!E64+февраль!E64+март!E64+апрель!E64+май!E64+июнь!E64+июль!E64+август!E64+сентябрь!E64+октябрь!E64+ноябрь!E64+декабрь!E64</f>
        <v>0</v>
      </c>
      <c r="F64" s="17">
        <f>январь!F64+февраль!F64+март!F64+апрель!F64+май!F64+июнь!F64+июль!F64+август!F64+сентябрь!F64+октябрь!F64+ноябрь!F64+декабрь!F64</f>
        <v>0</v>
      </c>
    </row>
    <row r="65" spans="1:6" s="4" customFormat="1" ht="21.75" customHeight="1">
      <c r="A65" s="39" t="s">
        <v>4</v>
      </c>
      <c r="B65" s="6">
        <f t="shared" si="0"/>
        <v>7943.985</v>
      </c>
      <c r="C65" s="21">
        <f>C66+C67</f>
        <v>7943.985</v>
      </c>
      <c r="D65" s="21">
        <f>D66+D67</f>
        <v>0</v>
      </c>
      <c r="E65" s="21">
        <f>E66+E67</f>
        <v>0</v>
      </c>
      <c r="F65" s="22">
        <f>F66+F67</f>
        <v>0</v>
      </c>
    </row>
    <row r="66" spans="1:6" s="4" customFormat="1" ht="18.75">
      <c r="A66" s="19" t="s">
        <v>25</v>
      </c>
      <c r="B66" s="6">
        <f t="shared" si="0"/>
        <v>7943.985</v>
      </c>
      <c r="C66" s="8">
        <f>январь!C66+февраль!C66+март!C66+апрель!C66+май!C66+июнь!C66+июль!C66+август!C66+сентябрь!C66+октябрь!C66+ноябрь!C66+декабрь!C66</f>
        <v>7943.985</v>
      </c>
      <c r="D66" s="8">
        <f>январь!D66+февраль!D66+март!D66+апрель!D66+май!D66+июнь!D66+июль!D66+август!D66+сентябрь!D66+октябрь!D66+ноябрь!D66+декабрь!D66</f>
        <v>0</v>
      </c>
      <c r="E66" s="8">
        <f>январь!E66+февраль!E66+март!E66+апрель!E66+май!E66+июнь!E66+июль!E66+август!E66+сентябрь!E66+октябрь!E66+ноябрь!E66+декабрь!E66</f>
        <v>0</v>
      </c>
      <c r="F66" s="9">
        <f>январь!F66+февраль!F66+март!F66+апрель!F66+май!F66+июнь!F66+июль!F66+август!F66+сентябрь!F66+октябрь!F66+ноябрь!F66+декабрь!F66</f>
        <v>0</v>
      </c>
    </row>
    <row r="67" spans="1:6" s="4" customFormat="1" ht="18.75">
      <c r="A67" s="19" t="s">
        <v>22</v>
      </c>
      <c r="B67" s="6">
        <f t="shared" si="0"/>
        <v>0</v>
      </c>
      <c r="C67" s="15">
        <f>C68+C69</f>
        <v>0</v>
      </c>
      <c r="D67" s="15">
        <f>D68+D69</f>
        <v>0</v>
      </c>
      <c r="E67" s="15">
        <f>E68+E69</f>
        <v>0</v>
      </c>
      <c r="F67" s="16">
        <f>F68+F69</f>
        <v>0</v>
      </c>
    </row>
    <row r="68" spans="1:6" s="4" customFormat="1" ht="18.75">
      <c r="A68" s="19" t="s">
        <v>23</v>
      </c>
      <c r="B68" s="6">
        <f t="shared" si="0"/>
        <v>0</v>
      </c>
      <c r="C68" s="10">
        <f>январь!C68+февраль!C68+март!C68+апрель!C68+май!C68+июнь!C68+июль!C68+август!C68+сентябрь!C68+октябрь!C68+ноябрь!C68+декабрь!C68</f>
        <v>0</v>
      </c>
      <c r="D68" s="10">
        <f>январь!D68+февраль!D68+март!D68+апрель!D68+май!D68+июнь!D68+июль!D68+август!D68+сентябрь!D68+октябрь!D68+ноябрь!D68+декабрь!D68</f>
        <v>0</v>
      </c>
      <c r="E68" s="10">
        <f>январь!E68+февраль!E68+март!E68+апрель!E68+май!E68+июнь!E68+июль!E68+август!E68+сентябрь!E68+октябрь!E68+ноябрь!E68+декабрь!E68</f>
        <v>0</v>
      </c>
      <c r="F68" s="17">
        <f>январь!F68+февраль!F68+март!F68+апрель!F68+май!F68+июнь!F68+июль!F68+август!F68+сентябрь!F68+октябрь!F68+ноябрь!F68+декабрь!F68</f>
        <v>0</v>
      </c>
    </row>
    <row r="69" spans="1:6" s="4" customFormat="1" ht="18.75">
      <c r="A69" s="19" t="s">
        <v>24</v>
      </c>
      <c r="B69" s="6">
        <f t="shared" si="0"/>
        <v>0</v>
      </c>
      <c r="C69" s="10">
        <f>январь!C69+февраль!C69+март!C69+апрель!C69+май!C69+июнь!C69+июль!C69+август!C69+сентябрь!C69+октябрь!C69+ноябрь!C69+декабрь!C69</f>
        <v>0</v>
      </c>
      <c r="D69" s="10">
        <f>январь!D69+февраль!D69+март!D69+апрель!D69+май!D69+июнь!D69+июль!D69+август!D69+сентябрь!D69+октябрь!D69+ноябрь!D69+декабрь!D69</f>
        <v>0</v>
      </c>
      <c r="E69" s="10">
        <f>январь!E69+февраль!E69+март!E69+апрель!E69+май!E69+июнь!E69+июль!E69+август!E69+сентябрь!E69+октябрь!E69+ноябрь!E69+декабрь!E69</f>
        <v>0</v>
      </c>
      <c r="F69" s="17">
        <f>январь!F69+февраль!F69+март!F69+апрель!F69+май!F69+июнь!F69+июль!F69+август!F69+сентябрь!F69+октябрь!F69+ноябрь!F69+декабрь!F69</f>
        <v>0</v>
      </c>
    </row>
    <row r="70" spans="1:6" s="81" customFormat="1" ht="26.25" customHeight="1">
      <c r="A70" s="39" t="s">
        <v>34</v>
      </c>
      <c r="B70" s="6">
        <f>C70+D70+E70+F70</f>
        <v>2723.4449999999997</v>
      </c>
      <c r="C70" s="8">
        <f>январь!C70+февраль!C70+март!C70+апрель!C70+май!C70+июнь!C70+июль!C70+август!C70+сентябрь!C70+октябрь!C70+ноябрь!C70+декабрь!C70</f>
        <v>0</v>
      </c>
      <c r="D70" s="8">
        <f>январь!D70+февраль!D70+март!D70+апрель!D70+май!D70+июнь!D70+июль!D70+август!D70+сентябрь!D70+октябрь!D70+ноябрь!D70+декабрь!D70</f>
        <v>0</v>
      </c>
      <c r="E70" s="8">
        <f>январь!E70+февраль!E70+март!E70+апрель!E70+май!E70+июнь!E70+июль!E70+август!E70+сентябрь!E70+октябрь!E70+ноябрь!E70+декабрь!E70</f>
        <v>2723.4449999999997</v>
      </c>
      <c r="F70" s="9">
        <f>январь!F70+февраль!F70+март!F70+апрель!F70+май!F70+июнь!F70+июль!F70+август!F70+сентябрь!F70+октябрь!F70+ноябрь!F70+декабрь!F70</f>
        <v>0</v>
      </c>
    </row>
    <row r="71" spans="1:6" s="81" customFormat="1" ht="26.25" customHeight="1">
      <c r="A71" s="39" t="s">
        <v>35</v>
      </c>
      <c r="B71" s="6">
        <f aca="true" t="shared" si="2" ref="B71:B79">C71+D71+E71+F71</f>
        <v>294.869</v>
      </c>
      <c r="C71" s="8">
        <f>январь!C71+февраль!C71+март!C71+апрель!C71+май!C71+июнь!C71+июль!C71+август!C71+сентябрь!C71+октябрь!C71+ноябрь!C71+декабрь!C71</f>
        <v>0</v>
      </c>
      <c r="D71" s="8">
        <f>январь!D71+февраль!D71+март!D71+апрель!D71+май!D71+июнь!D71+июль!D71+август!D71+сентябрь!D71+октябрь!D71+ноябрь!D71+декабрь!D71</f>
        <v>0</v>
      </c>
      <c r="E71" s="8">
        <f>январь!E71+февраль!E71+март!E71+апрель!E71+май!E71+июнь!E71+июль!E71+август!E71+сентябрь!E71+октябрь!E71+ноябрь!E71+декабрь!E71</f>
        <v>294.869</v>
      </c>
      <c r="F71" s="9">
        <f>январь!F71+февраль!F71+март!F71+апрель!F71+май!F71+июнь!F71+июль!F71+август!F71+сентябрь!F71+октябрь!F71+ноябрь!F71+декабрь!F71</f>
        <v>0</v>
      </c>
    </row>
    <row r="72" spans="1:6" s="81" customFormat="1" ht="26.25" customHeight="1">
      <c r="A72" s="39" t="s">
        <v>42</v>
      </c>
      <c r="B72" s="6">
        <f t="shared" si="2"/>
        <v>6489.4</v>
      </c>
      <c r="C72" s="8">
        <f>январь!C72+февраль!C72+март!C72+апрель!C72+май!C72+июнь!C72+июль!C72+август!C72+сентябрь!C72+октябрь!C72+ноябрь!C72+декабрь!C72</f>
        <v>0</v>
      </c>
      <c r="D72" s="8">
        <f>январь!D72+февраль!D72+март!D72+апрель!D72+май!D72+июнь!D72+июль!D72+август!D72+сентябрь!D72+октябрь!D72+ноябрь!D72+декабрь!D72</f>
        <v>0</v>
      </c>
      <c r="E72" s="8">
        <f>январь!E72+февраль!E72+март!E72+апрель!E72+май!E72+июнь!E72+июль!E72+август!E72+сентябрь!E72+октябрь!E72+ноябрь!E72+декабрь!E72</f>
        <v>5737.562</v>
      </c>
      <c r="F72" s="9">
        <f>январь!F72+февраль!F72+март!F72+апрель!F72+май!F72+июнь!F72+июль!F72+август!F72+сентябрь!F72+октябрь!F72+ноябрь!F72+декабрь!F72</f>
        <v>751.838</v>
      </c>
    </row>
    <row r="73" spans="1:6" s="81" customFormat="1" ht="48.75" customHeight="1">
      <c r="A73" s="48" t="s">
        <v>43</v>
      </c>
      <c r="B73" s="6">
        <f t="shared" si="2"/>
        <v>17676.049999999996</v>
      </c>
      <c r="C73" s="8">
        <f>январь!C73+февраль!C73+март!C73+апрель!C73+май!C73+июнь!C73+июль!C73+август!C73+сентябрь!C73+октябрь!C73+ноябрь!C73+декабрь!C73</f>
        <v>17542.299999999996</v>
      </c>
      <c r="D73" s="8">
        <f>январь!D73+февраль!D73+март!D73+апрель!D73+май!D73+июнь!D73+июль!D73+август!D73+сентябрь!D73+октябрь!D73+ноябрь!D73+декабрь!D73</f>
        <v>0</v>
      </c>
      <c r="E73" s="8">
        <f>январь!E73+февраль!E73+март!E73+апрель!E73+май!E73+июнь!E73+июль!E73+август!E73+сентябрь!E73+октябрь!E73+ноябрь!E73+декабрь!E73</f>
        <v>0</v>
      </c>
      <c r="F73" s="9">
        <f>январь!F73+февраль!F73+март!F73+апрель!F73+май!F73+июнь!F73+июль!F73+август!F73+сентябрь!F73+октябрь!F73+ноябрь!F73+декабрь!F73</f>
        <v>133.75</v>
      </c>
    </row>
    <row r="74" spans="1:6" s="81" customFormat="1" ht="26.25" customHeight="1">
      <c r="A74" s="39" t="s">
        <v>36</v>
      </c>
      <c r="B74" s="6">
        <f t="shared" si="2"/>
        <v>8892.006</v>
      </c>
      <c r="C74" s="8">
        <f>январь!C74+февраль!C74+март!C74+апрель!C74+май!C74+июнь!C74+июль!C74+август!C74+сентябрь!C74+октябрь!C74+ноябрь!C74+декабрь!C74</f>
        <v>6592.036999999999</v>
      </c>
      <c r="D74" s="8">
        <f>январь!D74+февраль!D74+март!D74+апрель!D74+май!D74+июнь!D74+июль!D74+август!D74+сентябрь!D74+октябрь!D74+ноябрь!D74+декабрь!D74</f>
        <v>0</v>
      </c>
      <c r="E74" s="8">
        <f>январь!E74+февраль!E74+март!E74+апрель!E74+май!E74+июнь!E74+июль!E74+август!E74+сентябрь!E74+октябрь!E74+ноябрь!E74+декабрь!E74</f>
        <v>1782.5480000000002</v>
      </c>
      <c r="F74" s="9">
        <f>январь!F74+февраль!F74+март!F74+апрель!F74+май!F74+июнь!F74+июль!F74+август!F74+сентябрь!F74+октябрь!F74+ноябрь!F74+декабрь!F74</f>
        <v>517.421</v>
      </c>
    </row>
    <row r="75" spans="1:6" s="81" customFormat="1" ht="26.25" customHeight="1">
      <c r="A75" s="39" t="s">
        <v>44</v>
      </c>
      <c r="B75" s="6">
        <f t="shared" si="2"/>
        <v>32.305</v>
      </c>
      <c r="C75" s="8">
        <f>январь!C75+февраль!C75+март!C75+апрель!C75+май!C75+июнь!C75+июль!C75+август!C75+сентябрь!C75+октябрь!C75+ноябрь!C75+декабрь!C75</f>
        <v>0.525</v>
      </c>
      <c r="D75" s="8">
        <f>январь!D75+февраль!D75+март!D75+апрель!D75+май!D75+июнь!D75+июль!D75+август!D75+сентябрь!D75+октябрь!D75+ноябрь!D75+декабрь!D75</f>
        <v>0</v>
      </c>
      <c r="E75" s="8">
        <f>январь!E75+февраль!E75+март!E75+апрель!E75+май!E75+июнь!E75+июль!E75+август!E75+сентябрь!E75+октябрь!E75+ноябрь!E75+декабрь!E75</f>
        <v>31.78</v>
      </c>
      <c r="F75" s="9">
        <f>январь!F75+февраль!F75+март!F75+апрель!F75+май!F75+июнь!F75+июль!F75+август!F75+сентябрь!F75+октябрь!F75+ноябрь!F75+декабрь!F75</f>
        <v>0</v>
      </c>
    </row>
    <row r="76" spans="1:6" s="81" customFormat="1" ht="48.75" customHeight="1">
      <c r="A76" s="48" t="s">
        <v>37</v>
      </c>
      <c r="B76" s="79">
        <f t="shared" si="2"/>
        <v>0</v>
      </c>
      <c r="C76" s="8">
        <f>январь!C76+февраль!C76+март!C76+апрель!C76+май!C76+июнь!C76+июль!C76+август!C76+сентябрь!C76+октябрь!C76+ноябрь!C76+декабрь!C76</f>
        <v>0</v>
      </c>
      <c r="D76" s="8">
        <f>январь!D76+февраль!D76+март!D76+апрель!D76+май!D76+июнь!D76+июль!D76+август!D76+сентябрь!D76+октябрь!D76+ноябрь!D76+декабрь!D76</f>
        <v>0</v>
      </c>
      <c r="E76" s="8">
        <f>январь!E76+февраль!E76+март!E76+апрель!E76+май!E76+июнь!E76+июль!E76+август!E76+сентябрь!E76+октябрь!E76+ноябрь!E76+декабрь!E76</f>
        <v>0</v>
      </c>
      <c r="F76" s="9">
        <f>январь!F76+февраль!F76+март!F76+апрель!F76+май!F76+июнь!F76+июль!F76+август!F76+сентябрь!F76+октябрь!F76+ноябрь!F76+декабрь!F76</f>
        <v>0</v>
      </c>
    </row>
    <row r="77" spans="1:6" s="81" customFormat="1" ht="45" customHeight="1">
      <c r="A77" s="80" t="s">
        <v>38</v>
      </c>
      <c r="B77" s="79">
        <f t="shared" si="2"/>
        <v>0</v>
      </c>
      <c r="C77" s="8">
        <f>январь!C77+февраль!C77+март!C77+апрель!C77+май!C77+июнь!C77+июль!C77+август!C77+сентябрь!C77+октябрь!C77+ноябрь!C77+декабрь!C77</f>
        <v>0</v>
      </c>
      <c r="D77" s="8">
        <f>январь!D77+февраль!D77+март!D77+апрель!D77+май!D77+июнь!D77+июль!D77+август!D77+сентябрь!D77+октябрь!D77+ноябрь!D77+декабрь!D77</f>
        <v>0</v>
      </c>
      <c r="E77" s="8">
        <f>январь!E77+февраль!E77+март!E77+апрель!E77+май!E77+июнь!E77+июль!E77+август!E77+сентябрь!E77+октябрь!E77+ноябрь!E77+декабрь!E77</f>
        <v>0</v>
      </c>
      <c r="F77" s="9">
        <f>январь!F77+февраль!F77+март!F77+апрель!F77+май!F77+июнь!F77+июль!F77+август!F77+сентябрь!F77+октябрь!F77+ноябрь!F77+декабрь!F77</f>
        <v>0</v>
      </c>
    </row>
    <row r="78" spans="1:6" s="81" customFormat="1" ht="57.75" customHeight="1" thickBot="1">
      <c r="A78" s="82" t="s">
        <v>39</v>
      </c>
      <c r="B78" s="83">
        <f t="shared" si="2"/>
        <v>0</v>
      </c>
      <c r="C78" s="27">
        <f>январь!C78+февраль!C78+март!C78+апрель!C78+май!C78+июнь!C78+июль!C78+август!C78+сентябрь!C78+октябрь!C78+ноябрь!C78+декабрь!C78</f>
        <v>0</v>
      </c>
      <c r="D78" s="27">
        <f>январь!D78+февраль!D78+март!D78+апрель!D78+май!D78+июнь!D78+июль!D78+август!D78+сентябрь!D78+октябрь!D78+ноябрь!D78+декабрь!D78</f>
        <v>0</v>
      </c>
      <c r="E78" s="27">
        <f>январь!E78+февраль!E78+март!E78+апрель!E78+май!E78+июнь!E78+июль!E78+август!E78+сентябрь!E78+октябрь!E78+ноябрь!E78+декабрь!E78</f>
        <v>0</v>
      </c>
      <c r="F78" s="29">
        <f>январь!F78+февраль!F78+март!F78+апрель!F78+май!F78+июнь!F78+июль!F78+август!F78+сентябрь!F78+октябрь!F78+ноябрь!F78+декабрь!F78</f>
        <v>0</v>
      </c>
    </row>
    <row r="79" spans="1:6" s="81" customFormat="1" ht="26.25" customHeight="1" thickBot="1">
      <c r="A79" s="86" t="s">
        <v>14</v>
      </c>
      <c r="B79" s="87">
        <f t="shared" si="2"/>
        <v>1364894.997</v>
      </c>
      <c r="C79" s="88">
        <f>C5+C10+C15+C20+C25+C30+C35+C40+C45+C50+C55+C60+C65+C70+C70+C71+C72+C73+C74+C75+C76+C77+C78</f>
        <v>564433.4729999999</v>
      </c>
      <c r="D79" s="88">
        <f>D5+D10+D15+D20+D25+D30+D35+D40+D45+D50+D55+D60+D65+D70+D70+D71+D72+D73+D74+D75+D76+D77+D78</f>
        <v>21520.902000000002</v>
      </c>
      <c r="E79" s="88">
        <f>E5+E10+E15+E20+E25+E30+E35+E40+E45+E50+E55+E60+E65+E70+E71+E72+E73+E74+E75+E76+E77+E78</f>
        <v>334335.4070000001</v>
      </c>
      <c r="F79" s="88">
        <f>F5+F10+F15+F20+F25+F30+F35+F40+F45+F50+F55+F60+F65+F70+F70+F71+F72+F73+F74+F75+F76+F77+F78</f>
        <v>444605.21499999997</v>
      </c>
    </row>
    <row r="80" spans="1:6" s="81" customFormat="1" ht="26.25" customHeight="1">
      <c r="A80" s="4"/>
      <c r="B80" s="4"/>
      <c r="C80" s="4"/>
      <c r="D80" s="4"/>
      <c r="E80" s="4"/>
      <c r="F80" s="4"/>
    </row>
    <row r="82" ht="12.75">
      <c r="E82" s="31"/>
    </row>
    <row r="84" ht="12.75">
      <c r="E84" s="31"/>
    </row>
  </sheetData>
  <mergeCells count="2">
    <mergeCell ref="A1:F1"/>
    <mergeCell ref="A2:F2"/>
  </mergeCells>
  <printOptions horizontalCentered="1"/>
  <pageMargins left="0.03937007874015748" right="0.03937007874015748" top="0.3937007874015748" bottom="0.03937007874015748" header="0.5118110236220472" footer="0.5118110236220472"/>
  <pageSetup horizontalDpi="600" verticalDpi="600" orientation="portrait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9"/>
  <sheetViews>
    <sheetView zoomScale="60" zoomScaleNormal="60" workbookViewId="0" topLeftCell="A1">
      <pane xSplit="1" ySplit="4" topLeftCell="B5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80" sqref="E80"/>
    </sheetView>
  </sheetViews>
  <sheetFormatPr defaultColWidth="9.00390625" defaultRowHeight="12.75"/>
  <cols>
    <col min="1" max="1" width="51.00390625" style="0" customWidth="1"/>
    <col min="2" max="6" width="25.25390625" style="0" customWidth="1"/>
  </cols>
  <sheetData>
    <row r="1" spans="1:6" s="54" customFormat="1" ht="47.25" customHeight="1">
      <c r="A1" s="53" t="s">
        <v>45</v>
      </c>
      <c r="B1" s="53"/>
      <c r="C1" s="53"/>
      <c r="D1" s="53"/>
      <c r="E1" s="53"/>
      <c r="F1" s="53"/>
    </row>
    <row r="2" spans="1:6" s="57" customFormat="1" ht="23.25">
      <c r="A2" s="55" t="s">
        <v>58</v>
      </c>
      <c r="B2" s="55"/>
      <c r="C2" s="55"/>
      <c r="D2" s="56"/>
      <c r="E2" s="56"/>
      <c r="F2" s="56"/>
    </row>
    <row r="3" s="58" customFormat="1" ht="18.75" thickBot="1">
      <c r="F3" s="59" t="s">
        <v>46</v>
      </c>
    </row>
    <row r="4" spans="1:6" s="2" customFormat="1" ht="29.25" customHeight="1" thickBot="1">
      <c r="A4" s="61" t="s">
        <v>27</v>
      </c>
      <c r="B4" s="62"/>
      <c r="C4" s="63" t="s">
        <v>0</v>
      </c>
      <c r="D4" s="63" t="s">
        <v>1</v>
      </c>
      <c r="E4" s="63" t="s">
        <v>2</v>
      </c>
      <c r="F4" s="64" t="s">
        <v>3</v>
      </c>
    </row>
    <row r="5" spans="1:6" s="3" customFormat="1" ht="57" customHeight="1">
      <c r="A5" s="106" t="s">
        <v>7</v>
      </c>
      <c r="B5" s="66">
        <f aca="true" t="shared" si="0" ref="B5:B69">C5+D5+E5+F5</f>
        <v>89414.013</v>
      </c>
      <c r="C5" s="67">
        <f>C6+C7</f>
        <v>37501.252</v>
      </c>
      <c r="D5" s="67">
        <f>D6+D7</f>
        <v>1599.158</v>
      </c>
      <c r="E5" s="67">
        <f>E6+E7</f>
        <v>21845.733</v>
      </c>
      <c r="F5" s="68">
        <f>F6+F7</f>
        <v>28467.87</v>
      </c>
    </row>
    <row r="6" spans="1:6" s="3" customFormat="1" ht="27" customHeight="1">
      <c r="A6" s="107" t="s">
        <v>25</v>
      </c>
      <c r="B6" s="32">
        <f t="shared" si="0"/>
        <v>73890.708</v>
      </c>
      <c r="C6" s="8">
        <f>37501.252-C7</f>
        <v>37251.237</v>
      </c>
      <c r="D6" s="8">
        <f>1599.158-D7</f>
        <v>1597.225</v>
      </c>
      <c r="E6" s="8">
        <f>21845.733-E7</f>
        <v>21145.47</v>
      </c>
      <c r="F6" s="9">
        <f>28467.87-F7</f>
        <v>13896.776000000002</v>
      </c>
    </row>
    <row r="7" spans="1:6" s="3" customFormat="1" ht="20.25" customHeight="1">
      <c r="A7" s="107" t="s">
        <v>22</v>
      </c>
      <c r="B7" s="32">
        <f t="shared" si="0"/>
        <v>15523.304999999997</v>
      </c>
      <c r="C7" s="8">
        <f>C8+C9</f>
        <v>250.015</v>
      </c>
      <c r="D7" s="15">
        <f>D8+D9</f>
        <v>1.933</v>
      </c>
      <c r="E7" s="15">
        <f>E8+E9</f>
        <v>700.263</v>
      </c>
      <c r="F7" s="16">
        <f>F8+F9</f>
        <v>14571.093999999997</v>
      </c>
    </row>
    <row r="8" spans="1:6" s="3" customFormat="1" ht="21.75" customHeight="1">
      <c r="A8" s="107" t="s">
        <v>23</v>
      </c>
      <c r="B8" s="32">
        <f t="shared" si="0"/>
        <v>4351.021999999999</v>
      </c>
      <c r="C8" s="11">
        <f>48.477+10.084</f>
        <v>58.56099999999999</v>
      </c>
      <c r="D8" s="11"/>
      <c r="E8" s="11">
        <v>95.532</v>
      </c>
      <c r="F8" s="12">
        <f>4183.596+13.333</f>
        <v>4196.928999999999</v>
      </c>
    </row>
    <row r="9" spans="1:6" s="3" customFormat="1" ht="24.75" customHeight="1">
      <c r="A9" s="107" t="s">
        <v>24</v>
      </c>
      <c r="B9" s="32">
        <f t="shared" si="0"/>
        <v>11172.283</v>
      </c>
      <c r="C9" s="11">
        <v>191.454</v>
      </c>
      <c r="D9" s="11">
        <v>1.933</v>
      </c>
      <c r="E9" s="11">
        <v>604.731</v>
      </c>
      <c r="F9" s="12">
        <f>16141.081-C7-D7-E7-F8-617.776</f>
        <v>10374.164999999999</v>
      </c>
    </row>
    <row r="10" spans="1:6" s="3" customFormat="1" ht="47.25" customHeight="1">
      <c r="A10" s="106" t="s">
        <v>15</v>
      </c>
      <c r="B10" s="32">
        <f t="shared" si="0"/>
        <v>6586.707</v>
      </c>
      <c r="C10" s="15">
        <f>C11+C12</f>
        <v>974.69</v>
      </c>
      <c r="D10" s="15"/>
      <c r="E10" s="15">
        <f>E11+E12</f>
        <v>2431.08</v>
      </c>
      <c r="F10" s="16">
        <f>F11+F12</f>
        <v>3180.937</v>
      </c>
    </row>
    <row r="11" spans="1:6" s="3" customFormat="1" ht="21.75" customHeight="1">
      <c r="A11" s="107" t="s">
        <v>25</v>
      </c>
      <c r="B11" s="32">
        <f t="shared" si="0"/>
        <v>4552.843999999999</v>
      </c>
      <c r="C11" s="8">
        <f>974.69-C12</f>
        <v>928.7360000000001</v>
      </c>
      <c r="D11" s="8"/>
      <c r="E11" s="8">
        <f>2431.08-E12</f>
        <v>2047.7489999999998</v>
      </c>
      <c r="F11" s="9">
        <f>3180.937-F12</f>
        <v>1576.359</v>
      </c>
    </row>
    <row r="12" spans="1:6" s="3" customFormat="1" ht="19.5" customHeight="1">
      <c r="A12" s="107" t="s">
        <v>22</v>
      </c>
      <c r="B12" s="32">
        <f t="shared" si="0"/>
        <v>2033.863</v>
      </c>
      <c r="C12" s="15">
        <f>C13+C14</f>
        <v>45.954</v>
      </c>
      <c r="D12" s="8"/>
      <c r="E12" s="15">
        <f>E13+E14</f>
        <v>383.331</v>
      </c>
      <c r="F12" s="16">
        <f>F13+F14</f>
        <v>1604.578</v>
      </c>
    </row>
    <row r="13" spans="1:6" s="3" customFormat="1" ht="17.25" customHeight="1">
      <c r="A13" s="107" t="s">
        <v>23</v>
      </c>
      <c r="B13" s="32">
        <f t="shared" si="0"/>
        <v>1143.999</v>
      </c>
      <c r="C13" s="11"/>
      <c r="D13" s="11"/>
      <c r="E13" s="11">
        <v>46.429</v>
      </c>
      <c r="F13" s="12">
        <v>1097.57</v>
      </c>
    </row>
    <row r="14" spans="1:6" s="3" customFormat="1" ht="17.25" customHeight="1">
      <c r="A14" s="107" t="s">
        <v>24</v>
      </c>
      <c r="B14" s="32">
        <f t="shared" si="0"/>
        <v>889.864</v>
      </c>
      <c r="C14" s="11">
        <v>45.954</v>
      </c>
      <c r="D14" s="11"/>
      <c r="E14" s="11">
        <v>336.902</v>
      </c>
      <c r="F14" s="12">
        <v>507.008</v>
      </c>
    </row>
    <row r="15" spans="1:6" s="3" customFormat="1" ht="35.25" customHeight="1">
      <c r="A15" s="106" t="s">
        <v>6</v>
      </c>
      <c r="B15" s="32">
        <f t="shared" si="0"/>
        <v>1618.789</v>
      </c>
      <c r="C15" s="15">
        <f>C16+C17</f>
        <v>1618.789</v>
      </c>
      <c r="D15" s="8"/>
      <c r="E15" s="8"/>
      <c r="F15" s="9"/>
    </row>
    <row r="16" spans="1:6" s="3" customFormat="1" ht="19.5" customHeight="1">
      <c r="A16" s="107" t="s">
        <v>25</v>
      </c>
      <c r="B16" s="32">
        <f t="shared" si="0"/>
        <v>1618.789</v>
      </c>
      <c r="C16" s="8">
        <v>1618.789</v>
      </c>
      <c r="D16" s="8"/>
      <c r="E16" s="15"/>
      <c r="F16" s="16"/>
    </row>
    <row r="17" spans="1:6" s="3" customFormat="1" ht="18" customHeight="1">
      <c r="A17" s="107" t="s">
        <v>22</v>
      </c>
      <c r="B17" s="32">
        <f t="shared" si="0"/>
        <v>0</v>
      </c>
      <c r="C17" s="8"/>
      <c r="D17" s="8"/>
      <c r="E17" s="15">
        <f>E18+E19</f>
        <v>0</v>
      </c>
      <c r="F17" s="16">
        <f>F18+F19</f>
        <v>0</v>
      </c>
    </row>
    <row r="18" spans="1:6" s="3" customFormat="1" ht="19.5" customHeight="1">
      <c r="A18" s="107" t="s">
        <v>23</v>
      </c>
      <c r="B18" s="32">
        <f t="shared" si="0"/>
        <v>0</v>
      </c>
      <c r="C18" s="11"/>
      <c r="D18" s="11"/>
      <c r="E18" s="11"/>
      <c r="F18" s="12"/>
    </row>
    <row r="19" spans="1:6" s="3" customFormat="1" ht="19.5" customHeight="1">
      <c r="A19" s="107" t="s">
        <v>24</v>
      </c>
      <c r="B19" s="32">
        <f t="shared" si="0"/>
        <v>0</v>
      </c>
      <c r="C19" s="11"/>
      <c r="D19" s="11"/>
      <c r="E19" s="11"/>
      <c r="F19" s="12"/>
    </row>
    <row r="20" spans="1:6" s="3" customFormat="1" ht="42.75" customHeight="1">
      <c r="A20" s="106" t="s">
        <v>8</v>
      </c>
      <c r="B20" s="32">
        <f t="shared" si="0"/>
        <v>1091.8200000000002</v>
      </c>
      <c r="C20" s="15">
        <f>C21+C22</f>
        <v>10.041</v>
      </c>
      <c r="D20" s="15">
        <f>D21+D22</f>
        <v>1001.031</v>
      </c>
      <c r="E20" s="15">
        <f>E21+E22</f>
        <v>3.863</v>
      </c>
      <c r="F20" s="16">
        <f>F21+F22</f>
        <v>76.885</v>
      </c>
    </row>
    <row r="21" spans="1:6" s="3" customFormat="1" ht="21.75" customHeight="1">
      <c r="A21" s="107" t="s">
        <v>25</v>
      </c>
      <c r="B21" s="32">
        <f t="shared" si="0"/>
        <v>1071.6200000000001</v>
      </c>
      <c r="C21" s="8">
        <v>10.041</v>
      </c>
      <c r="D21" s="8">
        <v>1001.031</v>
      </c>
      <c r="E21" s="8">
        <v>3.863</v>
      </c>
      <c r="F21" s="9">
        <f>76.885-F22</f>
        <v>56.685</v>
      </c>
    </row>
    <row r="22" spans="1:6" s="3" customFormat="1" ht="21" customHeight="1">
      <c r="A22" s="107" t="s">
        <v>22</v>
      </c>
      <c r="B22" s="32">
        <f t="shared" si="0"/>
        <v>20.2</v>
      </c>
      <c r="C22" s="8"/>
      <c r="D22" s="8"/>
      <c r="E22" s="15">
        <f>E23+E24</f>
        <v>0</v>
      </c>
      <c r="F22" s="16">
        <f>F23+F24</f>
        <v>20.2</v>
      </c>
    </row>
    <row r="23" spans="1:6" s="3" customFormat="1" ht="21.75" customHeight="1">
      <c r="A23" s="107" t="s">
        <v>23</v>
      </c>
      <c r="B23" s="32">
        <f t="shared" si="0"/>
        <v>20.2</v>
      </c>
      <c r="C23" s="11"/>
      <c r="D23" s="11"/>
      <c r="E23" s="11"/>
      <c r="F23" s="12">
        <v>20.2</v>
      </c>
    </row>
    <row r="24" spans="1:6" s="3" customFormat="1" ht="21" customHeight="1">
      <c r="A24" s="107" t="s">
        <v>24</v>
      </c>
      <c r="B24" s="32">
        <f t="shared" si="0"/>
        <v>0</v>
      </c>
      <c r="C24" s="11"/>
      <c r="D24" s="11"/>
      <c r="E24" s="11"/>
      <c r="F24" s="12"/>
    </row>
    <row r="25" spans="1:6" s="3" customFormat="1" ht="39" customHeight="1">
      <c r="A25" s="106" t="s">
        <v>9</v>
      </c>
      <c r="B25" s="32">
        <f t="shared" si="0"/>
        <v>10043.48</v>
      </c>
      <c r="C25" s="15">
        <f>C26+C27</f>
        <v>4122.338</v>
      </c>
      <c r="D25" s="15"/>
      <c r="E25" s="15">
        <f>E26+E27</f>
        <v>1577.63</v>
      </c>
      <c r="F25" s="16">
        <f>F26+F27</f>
        <v>4343.512</v>
      </c>
    </row>
    <row r="26" spans="1:6" s="3" customFormat="1" ht="19.5" customHeight="1">
      <c r="A26" s="107" t="s">
        <v>25</v>
      </c>
      <c r="B26" s="32">
        <f t="shared" si="0"/>
        <v>7534.266</v>
      </c>
      <c r="C26" s="8">
        <v>4122.338</v>
      </c>
      <c r="D26" s="8"/>
      <c r="E26" s="15">
        <v>1577.63</v>
      </c>
      <c r="F26" s="16">
        <f>4343.512-F27</f>
        <v>1834.2979999999998</v>
      </c>
    </row>
    <row r="27" spans="1:6" s="3" customFormat="1" ht="20.25" customHeight="1">
      <c r="A27" s="107" t="s">
        <v>22</v>
      </c>
      <c r="B27" s="32">
        <f t="shared" si="0"/>
        <v>2509.214</v>
      </c>
      <c r="C27" s="8"/>
      <c r="D27" s="8"/>
      <c r="E27" s="15">
        <f>E28+E29</f>
        <v>0</v>
      </c>
      <c r="F27" s="16">
        <f>F28+F29</f>
        <v>2509.214</v>
      </c>
    </row>
    <row r="28" spans="1:6" s="3" customFormat="1" ht="20.25" customHeight="1">
      <c r="A28" s="107" t="s">
        <v>23</v>
      </c>
      <c r="B28" s="32">
        <f t="shared" si="0"/>
        <v>2482.714</v>
      </c>
      <c r="C28" s="11"/>
      <c r="D28" s="11"/>
      <c r="E28" s="11"/>
      <c r="F28" s="12">
        <f>2509.214-F29</f>
        <v>2482.714</v>
      </c>
    </row>
    <row r="29" spans="1:6" s="3" customFormat="1" ht="20.25" customHeight="1">
      <c r="A29" s="107" t="s">
        <v>24</v>
      </c>
      <c r="B29" s="32">
        <f t="shared" si="0"/>
        <v>26.5</v>
      </c>
      <c r="C29" s="11"/>
      <c r="D29" s="11"/>
      <c r="E29" s="11"/>
      <c r="F29" s="12">
        <v>26.5</v>
      </c>
    </row>
    <row r="30" spans="1:6" s="3" customFormat="1" ht="39" customHeight="1">
      <c r="A30" s="106" t="s">
        <v>10</v>
      </c>
      <c r="B30" s="32">
        <f t="shared" si="0"/>
        <v>91.485</v>
      </c>
      <c r="C30" s="15"/>
      <c r="D30" s="15"/>
      <c r="E30" s="15">
        <f>E31+E32</f>
        <v>61.435</v>
      </c>
      <c r="F30" s="16">
        <f>F31+F32</f>
        <v>30.05</v>
      </c>
    </row>
    <row r="31" spans="1:6" s="3" customFormat="1" ht="22.5" customHeight="1">
      <c r="A31" s="107" t="s">
        <v>25</v>
      </c>
      <c r="B31" s="32">
        <f t="shared" si="0"/>
        <v>68.373</v>
      </c>
      <c r="C31" s="8"/>
      <c r="D31" s="8"/>
      <c r="E31" s="15">
        <v>61.435</v>
      </c>
      <c r="F31" s="16">
        <f>30.05-F32</f>
        <v>6.938000000000002</v>
      </c>
    </row>
    <row r="32" spans="1:6" s="3" customFormat="1" ht="24.75" customHeight="1">
      <c r="A32" s="107" t="s">
        <v>22</v>
      </c>
      <c r="B32" s="32">
        <f t="shared" si="0"/>
        <v>23.112</v>
      </c>
      <c r="C32" s="8"/>
      <c r="D32" s="8"/>
      <c r="E32" s="15">
        <f>E33+E34</f>
        <v>0</v>
      </c>
      <c r="F32" s="16">
        <f>F33+F34</f>
        <v>23.112</v>
      </c>
    </row>
    <row r="33" spans="1:6" s="3" customFormat="1" ht="18" customHeight="1">
      <c r="A33" s="107" t="s">
        <v>23</v>
      </c>
      <c r="B33" s="32">
        <f t="shared" si="0"/>
        <v>19.683</v>
      </c>
      <c r="C33" s="11"/>
      <c r="D33" s="11"/>
      <c r="E33" s="11"/>
      <c r="F33" s="12">
        <v>19.683</v>
      </c>
    </row>
    <row r="34" spans="1:6" s="3" customFormat="1" ht="18" customHeight="1">
      <c r="A34" s="107" t="s">
        <v>24</v>
      </c>
      <c r="B34" s="32">
        <f t="shared" si="0"/>
        <v>3.429</v>
      </c>
      <c r="C34" s="11"/>
      <c r="D34" s="11"/>
      <c r="E34" s="11"/>
      <c r="F34" s="12">
        <v>3.429</v>
      </c>
    </row>
    <row r="35" spans="1:6" s="3" customFormat="1" ht="25.5" customHeight="1">
      <c r="A35" s="106" t="s">
        <v>40</v>
      </c>
      <c r="B35" s="32">
        <f t="shared" si="0"/>
        <v>0</v>
      </c>
      <c r="C35" s="21"/>
      <c r="D35" s="21"/>
      <c r="E35" s="15">
        <f>E36+E37</f>
        <v>0</v>
      </c>
      <c r="F35" s="16">
        <f>F36+F37</f>
        <v>0</v>
      </c>
    </row>
    <row r="36" spans="1:6" s="3" customFormat="1" ht="23.25" customHeight="1">
      <c r="A36" s="107" t="s">
        <v>25</v>
      </c>
      <c r="B36" s="32">
        <f t="shared" si="0"/>
        <v>0</v>
      </c>
      <c r="C36" s="8"/>
      <c r="D36" s="8"/>
      <c r="E36" s="8"/>
      <c r="F36" s="9"/>
    </row>
    <row r="37" spans="1:6" s="3" customFormat="1" ht="23.25" customHeight="1">
      <c r="A37" s="107" t="s">
        <v>22</v>
      </c>
      <c r="B37" s="32">
        <f t="shared" si="0"/>
        <v>0</v>
      </c>
      <c r="C37" s="8"/>
      <c r="D37" s="8"/>
      <c r="E37" s="15">
        <f>E38+E39</f>
        <v>0</v>
      </c>
      <c r="F37" s="16">
        <f>F38+F39</f>
        <v>0</v>
      </c>
    </row>
    <row r="38" spans="1:6" s="3" customFormat="1" ht="23.25" customHeight="1">
      <c r="A38" s="107" t="s">
        <v>23</v>
      </c>
      <c r="B38" s="32">
        <f t="shared" si="0"/>
        <v>0</v>
      </c>
      <c r="C38" s="21"/>
      <c r="D38" s="21"/>
      <c r="E38" s="21"/>
      <c r="F38" s="25"/>
    </row>
    <row r="39" spans="1:6" s="3" customFormat="1" ht="23.25" customHeight="1">
      <c r="A39" s="107" t="s">
        <v>24</v>
      </c>
      <c r="B39" s="32">
        <f t="shared" si="0"/>
        <v>0</v>
      </c>
      <c r="C39" s="21"/>
      <c r="D39" s="21"/>
      <c r="E39" s="21"/>
      <c r="F39" s="25"/>
    </row>
    <row r="40" spans="1:6" s="3" customFormat="1" ht="42" customHeight="1">
      <c r="A40" s="106" t="s">
        <v>41</v>
      </c>
      <c r="B40" s="32">
        <f t="shared" si="0"/>
        <v>0</v>
      </c>
      <c r="C40" s="21"/>
      <c r="D40" s="21"/>
      <c r="E40" s="15">
        <f>E41+E42</f>
        <v>0</v>
      </c>
      <c r="F40" s="16">
        <f>F41+F42</f>
        <v>0</v>
      </c>
    </row>
    <row r="41" spans="1:6" s="3" customFormat="1" ht="19.5" customHeight="1">
      <c r="A41" s="107" t="s">
        <v>25</v>
      </c>
      <c r="B41" s="32">
        <f t="shared" si="0"/>
        <v>0</v>
      </c>
      <c r="C41" s="8"/>
      <c r="D41" s="8"/>
      <c r="E41" s="8"/>
      <c r="F41" s="9"/>
    </row>
    <row r="42" spans="1:6" s="3" customFormat="1" ht="19.5" customHeight="1">
      <c r="A42" s="107" t="s">
        <v>22</v>
      </c>
      <c r="B42" s="32">
        <f t="shared" si="0"/>
        <v>0</v>
      </c>
      <c r="C42" s="8"/>
      <c r="D42" s="8"/>
      <c r="E42" s="15">
        <f>E43+E44</f>
        <v>0</v>
      </c>
      <c r="F42" s="16">
        <f>F43+F44</f>
        <v>0</v>
      </c>
    </row>
    <row r="43" spans="1:6" s="3" customFormat="1" ht="19.5" customHeight="1">
      <c r="A43" s="107" t="s">
        <v>23</v>
      </c>
      <c r="B43" s="32">
        <f t="shared" si="0"/>
        <v>0</v>
      </c>
      <c r="C43" s="21"/>
      <c r="D43" s="21"/>
      <c r="E43" s="21"/>
      <c r="F43" s="25"/>
    </row>
    <row r="44" spans="1:6" s="3" customFormat="1" ht="19.5" customHeight="1">
      <c r="A44" s="107" t="s">
        <v>24</v>
      </c>
      <c r="B44" s="32">
        <f t="shared" si="0"/>
        <v>0</v>
      </c>
      <c r="C44" s="21"/>
      <c r="D44" s="21"/>
      <c r="E44" s="21"/>
      <c r="F44" s="25"/>
    </row>
    <row r="45" spans="1:6" s="3" customFormat="1" ht="24.75" customHeight="1">
      <c r="A45" s="106" t="s">
        <v>11</v>
      </c>
      <c r="B45" s="32">
        <f t="shared" si="0"/>
        <v>2773.237</v>
      </c>
      <c r="C45" s="15">
        <f>C46+C47</f>
        <v>0</v>
      </c>
      <c r="D45" s="8"/>
      <c r="E45" s="15">
        <f>E46+E47</f>
        <v>2137.376</v>
      </c>
      <c r="F45" s="16">
        <f>F46+F47</f>
        <v>635.861</v>
      </c>
    </row>
    <row r="46" spans="1:6" s="3" customFormat="1" ht="24.75" customHeight="1">
      <c r="A46" s="107" t="s">
        <v>25</v>
      </c>
      <c r="B46" s="32">
        <f t="shared" si="0"/>
        <v>2317.5840000000003</v>
      </c>
      <c r="C46" s="8"/>
      <c r="D46" s="8"/>
      <c r="E46" s="15">
        <f>2137.376-E47</f>
        <v>2123.7760000000003</v>
      </c>
      <c r="F46" s="16">
        <f>635.861-F47</f>
        <v>193.808</v>
      </c>
    </row>
    <row r="47" spans="1:6" s="3" customFormat="1" ht="24.75" customHeight="1">
      <c r="A47" s="107" t="s">
        <v>22</v>
      </c>
      <c r="B47" s="32">
        <f t="shared" si="0"/>
        <v>455.653</v>
      </c>
      <c r="C47" s="8"/>
      <c r="D47" s="8"/>
      <c r="E47" s="15">
        <f>E48+E49</f>
        <v>13.6</v>
      </c>
      <c r="F47" s="16">
        <f>F48+F49</f>
        <v>442.053</v>
      </c>
    </row>
    <row r="48" spans="1:6" s="3" customFormat="1" ht="24.75" customHeight="1">
      <c r="A48" s="107" t="s">
        <v>23</v>
      </c>
      <c r="B48" s="32">
        <f t="shared" si="0"/>
        <v>360.691</v>
      </c>
      <c r="C48" s="8"/>
      <c r="D48" s="8"/>
      <c r="E48" s="11">
        <v>11.94</v>
      </c>
      <c r="F48" s="12">
        <v>348.751</v>
      </c>
    </row>
    <row r="49" spans="1:6" s="3" customFormat="1" ht="24.75" customHeight="1">
      <c r="A49" s="107" t="s">
        <v>24</v>
      </c>
      <c r="B49" s="32">
        <f t="shared" si="0"/>
        <v>94.962</v>
      </c>
      <c r="C49" s="8"/>
      <c r="D49" s="8"/>
      <c r="E49" s="11">
        <v>1.66</v>
      </c>
      <c r="F49" s="12">
        <v>93.302</v>
      </c>
    </row>
    <row r="50" spans="1:6" s="3" customFormat="1" ht="24.75" customHeight="1">
      <c r="A50" s="106" t="s">
        <v>5</v>
      </c>
      <c r="B50" s="32">
        <f t="shared" si="0"/>
        <v>2249.2780000000002</v>
      </c>
      <c r="C50" s="15">
        <f>C51+C52</f>
        <v>314.066</v>
      </c>
      <c r="D50" s="8"/>
      <c r="E50" s="15">
        <f>E51+E52</f>
        <v>963.356</v>
      </c>
      <c r="F50" s="16">
        <f>F51+F52</f>
        <v>971.856</v>
      </c>
    </row>
    <row r="51" spans="1:6" s="3" customFormat="1" ht="24.75" customHeight="1">
      <c r="A51" s="107" t="s">
        <v>25</v>
      </c>
      <c r="B51" s="32">
        <f t="shared" si="0"/>
        <v>1309.701</v>
      </c>
      <c r="C51" s="15">
        <v>314.066</v>
      </c>
      <c r="D51" s="8"/>
      <c r="E51" s="15">
        <f>963.356-E52</f>
        <v>502.542</v>
      </c>
      <c r="F51" s="16">
        <f>971.856-F52</f>
        <v>493.093</v>
      </c>
    </row>
    <row r="52" spans="1:6" s="3" customFormat="1" ht="24.75" customHeight="1">
      <c r="A52" s="107" t="s">
        <v>22</v>
      </c>
      <c r="B52" s="32">
        <f t="shared" si="0"/>
        <v>939.577</v>
      </c>
      <c r="C52" s="8"/>
      <c r="D52" s="8"/>
      <c r="E52" s="15">
        <f>E53+E54</f>
        <v>460.814</v>
      </c>
      <c r="F52" s="16">
        <f>F53+F54</f>
        <v>478.763</v>
      </c>
    </row>
    <row r="53" spans="1:6" s="3" customFormat="1" ht="24.75" customHeight="1">
      <c r="A53" s="107" t="s">
        <v>23</v>
      </c>
      <c r="B53" s="32">
        <f t="shared" si="0"/>
        <v>939.577</v>
      </c>
      <c r="C53" s="11"/>
      <c r="D53" s="11"/>
      <c r="E53" s="11">
        <v>460.814</v>
      </c>
      <c r="F53" s="12">
        <v>478.763</v>
      </c>
    </row>
    <row r="54" spans="1:6" s="3" customFormat="1" ht="24.75" customHeight="1">
      <c r="A54" s="107" t="s">
        <v>24</v>
      </c>
      <c r="B54" s="32">
        <f t="shared" si="0"/>
        <v>0</v>
      </c>
      <c r="C54" s="11"/>
      <c r="D54" s="11"/>
      <c r="E54" s="11"/>
      <c r="F54" s="12"/>
    </row>
    <row r="55" spans="1:6" s="3" customFormat="1" ht="50.25" customHeight="1">
      <c r="A55" s="106" t="s">
        <v>12</v>
      </c>
      <c r="B55" s="32">
        <f t="shared" si="0"/>
        <v>6558.34</v>
      </c>
      <c r="C55" s="15"/>
      <c r="D55" s="8"/>
      <c r="E55" s="15">
        <f>E56+E57</f>
        <v>1452.272</v>
      </c>
      <c r="F55" s="16">
        <f>F56+F57</f>
        <v>5106.068</v>
      </c>
    </row>
    <row r="56" spans="1:6" s="3" customFormat="1" ht="26.25" customHeight="1">
      <c r="A56" s="107" t="s">
        <v>25</v>
      </c>
      <c r="B56" s="32">
        <f t="shared" si="0"/>
        <v>3532.158</v>
      </c>
      <c r="C56" s="8"/>
      <c r="D56" s="8"/>
      <c r="E56" s="15">
        <f>1452.272-E57</f>
        <v>1359.399</v>
      </c>
      <c r="F56" s="16">
        <f>5106.068-F57</f>
        <v>2172.759</v>
      </c>
    </row>
    <row r="57" spans="1:6" s="3" customFormat="1" ht="26.25" customHeight="1">
      <c r="A57" s="107" t="s">
        <v>22</v>
      </c>
      <c r="B57" s="32">
        <f t="shared" si="0"/>
        <v>3026.1820000000002</v>
      </c>
      <c r="C57" s="8"/>
      <c r="D57" s="8"/>
      <c r="E57" s="15">
        <f>E58+E59</f>
        <v>92.873</v>
      </c>
      <c r="F57" s="16">
        <f>F58+F59</f>
        <v>2933.309</v>
      </c>
    </row>
    <row r="58" spans="1:6" s="3" customFormat="1" ht="26.25" customHeight="1">
      <c r="A58" s="107" t="s">
        <v>23</v>
      </c>
      <c r="B58" s="32">
        <f t="shared" si="0"/>
        <v>657.9580000000001</v>
      </c>
      <c r="C58" s="10"/>
      <c r="D58" s="8"/>
      <c r="E58" s="11">
        <v>28.44</v>
      </c>
      <c r="F58" s="12">
        <v>629.518</v>
      </c>
    </row>
    <row r="59" spans="1:6" s="3" customFormat="1" ht="26.25" customHeight="1">
      <c r="A59" s="107" t="s">
        <v>24</v>
      </c>
      <c r="B59" s="32">
        <f t="shared" si="0"/>
        <v>2368.224</v>
      </c>
      <c r="C59" s="10"/>
      <c r="D59" s="8"/>
      <c r="E59" s="11">
        <v>64.433</v>
      </c>
      <c r="F59" s="12">
        <v>2303.791</v>
      </c>
    </row>
    <row r="60" spans="1:6" s="3" customFormat="1" ht="24.75" customHeight="1">
      <c r="A60" s="108" t="s">
        <v>13</v>
      </c>
      <c r="B60" s="32">
        <f t="shared" si="0"/>
        <v>161.882</v>
      </c>
      <c r="C60" s="10"/>
      <c r="D60" s="8"/>
      <c r="E60" s="8">
        <f>E61+E62</f>
        <v>77.166</v>
      </c>
      <c r="F60" s="9">
        <f>F61+F62</f>
        <v>84.716</v>
      </c>
    </row>
    <row r="61" spans="1:6" s="3" customFormat="1" ht="21.75" customHeight="1">
      <c r="A61" s="107" t="s">
        <v>25</v>
      </c>
      <c r="B61" s="32">
        <f t="shared" si="0"/>
        <v>161.882</v>
      </c>
      <c r="C61" s="8"/>
      <c r="D61" s="8"/>
      <c r="E61" s="15">
        <v>77.166</v>
      </c>
      <c r="F61" s="16">
        <v>84.716</v>
      </c>
    </row>
    <row r="62" spans="1:6" s="3" customFormat="1" ht="16.5" customHeight="1">
      <c r="A62" s="107" t="s">
        <v>22</v>
      </c>
      <c r="B62" s="32">
        <f t="shared" si="0"/>
        <v>0</v>
      </c>
      <c r="C62" s="8"/>
      <c r="D62" s="8"/>
      <c r="E62" s="15">
        <f>E63+E64</f>
        <v>0</v>
      </c>
      <c r="F62" s="16">
        <f>F63+F64</f>
        <v>0</v>
      </c>
    </row>
    <row r="63" spans="1:6" s="3" customFormat="1" ht="18" customHeight="1">
      <c r="A63" s="107" t="s">
        <v>23</v>
      </c>
      <c r="B63" s="32">
        <f t="shared" si="0"/>
        <v>0</v>
      </c>
      <c r="C63" s="10"/>
      <c r="D63" s="8"/>
      <c r="E63" s="10"/>
      <c r="F63" s="17"/>
    </row>
    <row r="64" spans="1:6" s="3" customFormat="1" ht="18" customHeight="1">
      <c r="A64" s="107" t="s">
        <v>24</v>
      </c>
      <c r="B64" s="32">
        <f t="shared" si="0"/>
        <v>0</v>
      </c>
      <c r="C64" s="10"/>
      <c r="D64" s="8"/>
      <c r="E64" s="10"/>
      <c r="F64" s="17"/>
    </row>
    <row r="65" spans="1:6" s="3" customFormat="1" ht="24.75" customHeight="1">
      <c r="A65" s="108" t="s">
        <v>4</v>
      </c>
      <c r="B65" s="32">
        <f t="shared" si="0"/>
        <v>597.921</v>
      </c>
      <c r="C65" s="15">
        <f>C66+C67</f>
        <v>597.921</v>
      </c>
      <c r="D65" s="8"/>
      <c r="E65" s="8"/>
      <c r="F65" s="9"/>
    </row>
    <row r="66" spans="1:6" s="3" customFormat="1" ht="21.75" customHeight="1">
      <c r="A66" s="107" t="s">
        <v>25</v>
      </c>
      <c r="B66" s="32">
        <f t="shared" si="0"/>
        <v>597.921</v>
      </c>
      <c r="C66" s="15">
        <v>597.921</v>
      </c>
      <c r="D66" s="8"/>
      <c r="E66" s="15">
        <f>E65-E67</f>
        <v>0</v>
      </c>
      <c r="F66" s="16">
        <f>F65-F67</f>
        <v>0</v>
      </c>
    </row>
    <row r="67" spans="1:6" s="3" customFormat="1" ht="18" customHeight="1">
      <c r="A67" s="107" t="s">
        <v>22</v>
      </c>
      <c r="B67" s="32">
        <f t="shared" si="0"/>
        <v>0</v>
      </c>
      <c r="C67" s="15">
        <f>C68+C69</f>
        <v>0</v>
      </c>
      <c r="D67" s="8"/>
      <c r="E67" s="15">
        <f>E68+E69</f>
        <v>0</v>
      </c>
      <c r="F67" s="16">
        <f>F68+F69</f>
        <v>0</v>
      </c>
    </row>
    <row r="68" spans="1:6" s="3" customFormat="1" ht="19.5" customHeight="1">
      <c r="A68" s="107" t="s">
        <v>23</v>
      </c>
      <c r="B68" s="32">
        <f t="shared" si="0"/>
        <v>0</v>
      </c>
      <c r="C68" s="11"/>
      <c r="D68" s="8"/>
      <c r="E68" s="8"/>
      <c r="F68" s="9"/>
    </row>
    <row r="69" spans="1:6" s="3" customFormat="1" ht="19.5" customHeight="1" thickBot="1">
      <c r="A69" s="107" t="s">
        <v>24</v>
      </c>
      <c r="B69" s="33">
        <f t="shared" si="0"/>
        <v>0</v>
      </c>
      <c r="C69" s="14"/>
      <c r="D69" s="13"/>
      <c r="E69" s="13"/>
      <c r="F69" s="18"/>
    </row>
    <row r="70" spans="1:6" s="74" customFormat="1" ht="24.75" customHeight="1">
      <c r="A70" s="108" t="s">
        <v>34</v>
      </c>
      <c r="B70" s="66">
        <f>C70+D70+E70+F70</f>
        <v>283.386</v>
      </c>
      <c r="C70" s="40"/>
      <c r="D70" s="40"/>
      <c r="E70" s="41">
        <v>283.386</v>
      </c>
      <c r="F70" s="42"/>
    </row>
    <row r="71" spans="1:6" s="74" customFormat="1" ht="18.75" customHeight="1">
      <c r="A71" s="108" t="s">
        <v>35</v>
      </c>
      <c r="B71" s="32">
        <f aca="true" t="shared" si="1" ref="B71:B79">C71+D71+E71+F71</f>
        <v>32.981</v>
      </c>
      <c r="C71" s="8"/>
      <c r="D71" s="8"/>
      <c r="E71" s="11">
        <v>32.981</v>
      </c>
      <c r="F71" s="9"/>
    </row>
    <row r="72" spans="1:6" s="74" customFormat="1" ht="26.25" customHeight="1">
      <c r="A72" s="108" t="s">
        <v>42</v>
      </c>
      <c r="B72" s="32">
        <f t="shared" si="1"/>
        <v>486.407</v>
      </c>
      <c r="C72" s="24"/>
      <c r="D72" s="24"/>
      <c r="E72" s="24">
        <v>418.176</v>
      </c>
      <c r="F72" s="25">
        <v>68.231</v>
      </c>
    </row>
    <row r="73" spans="1:6" s="78" customFormat="1" ht="30" customHeight="1">
      <c r="A73" s="113" t="s">
        <v>43</v>
      </c>
      <c r="B73" s="32">
        <f t="shared" si="1"/>
        <v>1474.64</v>
      </c>
      <c r="C73" s="24">
        <v>1460.5</v>
      </c>
      <c r="D73" s="24"/>
      <c r="E73" s="24"/>
      <c r="F73" s="25">
        <v>14.14</v>
      </c>
    </row>
    <row r="74" spans="1:6" s="74" customFormat="1" ht="26.25" customHeight="1">
      <c r="A74" s="108" t="s">
        <v>36</v>
      </c>
      <c r="B74" s="32">
        <f t="shared" si="1"/>
        <v>789.1080000000001</v>
      </c>
      <c r="C74" s="24">
        <v>517.318</v>
      </c>
      <c r="D74" s="24"/>
      <c r="E74" s="24">
        <v>216.292</v>
      </c>
      <c r="F74" s="25">
        <v>55.498</v>
      </c>
    </row>
    <row r="75" spans="1:6" s="74" customFormat="1" ht="24.75" customHeight="1">
      <c r="A75" s="108" t="s">
        <v>44</v>
      </c>
      <c r="B75" s="32">
        <f t="shared" si="1"/>
        <v>0</v>
      </c>
      <c r="C75" s="8"/>
      <c r="D75" s="8"/>
      <c r="E75" s="8"/>
      <c r="F75" s="9"/>
    </row>
    <row r="76" spans="1:6" s="7" customFormat="1" ht="27" customHeight="1">
      <c r="A76" s="113" t="s">
        <v>37</v>
      </c>
      <c r="B76" s="111">
        <f t="shared" si="1"/>
        <v>0</v>
      </c>
      <c r="C76" s="46"/>
      <c r="D76" s="46"/>
      <c r="E76" s="46"/>
      <c r="F76" s="47"/>
    </row>
    <row r="77" spans="1:6" s="4" customFormat="1" ht="36">
      <c r="A77" s="114" t="s">
        <v>38</v>
      </c>
      <c r="B77" s="111">
        <f t="shared" si="1"/>
        <v>0</v>
      </c>
      <c r="C77" s="46"/>
      <c r="D77" s="46"/>
      <c r="E77" s="46"/>
      <c r="F77" s="47"/>
    </row>
    <row r="78" spans="1:6" s="4" customFormat="1" ht="54.75" thickBot="1">
      <c r="A78" s="114" t="s">
        <v>39</v>
      </c>
      <c r="B78" s="112">
        <f t="shared" si="1"/>
        <v>0</v>
      </c>
      <c r="C78" s="84"/>
      <c r="D78" s="84"/>
      <c r="E78" s="84"/>
      <c r="F78" s="85"/>
    </row>
    <row r="79" spans="1:6" s="4" customFormat="1" ht="32.25" customHeight="1" thickBot="1">
      <c r="A79" s="38" t="s">
        <v>14</v>
      </c>
      <c r="B79" s="91">
        <f t="shared" si="1"/>
        <v>124253.474</v>
      </c>
      <c r="C79" s="92">
        <f>C5+C10+C15+C20+C25+C30+C35+C40+C45+C50+C55+C60+C65+C70+C70+C71+C72+C73+C74+C75+C76+C77+C78</f>
        <v>47116.915</v>
      </c>
      <c r="D79" s="92">
        <f>D5+D10+D15+D20+D25+D30+D35+D40+D45+D50+D55+D60+D65+D70+D70+D71+D72+D73+D74+D75+D76+D77+D78</f>
        <v>2600.189</v>
      </c>
      <c r="E79" s="92">
        <f>E5+E10+E15+E20+E25+E30+E35+E40+E45+E50+E55+E60+E65+E70+E71+E72+E73+E74+E75+E76+E77+E78</f>
        <v>31500.746000000006</v>
      </c>
      <c r="F79" s="92">
        <f>F5+F10+F15+F20+F25+F30+F35+F40+F45+F50+F55+F60+F65+F70+F70+F71+F72+F73+F74+F75+F76+F77+F78</f>
        <v>43035.623999999996</v>
      </c>
    </row>
    <row r="80" s="4" customFormat="1" ht="12.75"/>
    <row r="81" s="4" customFormat="1" ht="12.75"/>
    <row r="82" s="4" customFormat="1" ht="12.75"/>
    <row r="83" s="4" customFormat="1" ht="12.75"/>
    <row r="84" s="4" customFormat="1" ht="12.75"/>
    <row r="85" s="4" customFormat="1" ht="12.75"/>
    <row r="86" s="4" customFormat="1" ht="12.75"/>
    <row r="87" s="4" customFormat="1" ht="12.75"/>
    <row r="88" s="4" customFormat="1" ht="12.75"/>
    <row r="89" s="4" customFormat="1" ht="12.75"/>
    <row r="90" s="4" customFormat="1" ht="12.75"/>
    <row r="91" s="4" customFormat="1" ht="12.75"/>
    <row r="92" s="4" customFormat="1" ht="12.75"/>
    <row r="93" s="4" customFormat="1" ht="12.75"/>
    <row r="94" s="4" customFormat="1" ht="12.75"/>
    <row r="95" s="4" customFormat="1" ht="12.75"/>
    <row r="96" s="4" customFormat="1" ht="12.75"/>
    <row r="97" s="4" customFormat="1" ht="12.75"/>
    <row r="98" s="4" customFormat="1" ht="12.75"/>
    <row r="99" s="4" customFormat="1" ht="12.75"/>
    <row r="100" s="4" customFormat="1" ht="12.75"/>
    <row r="101" s="4" customFormat="1" ht="12.75"/>
    <row r="102" s="4" customFormat="1" ht="12.75"/>
  </sheetData>
  <mergeCells count="2">
    <mergeCell ref="A1:F1"/>
    <mergeCell ref="A2:F2"/>
  </mergeCells>
  <printOptions horizontalCentered="1"/>
  <pageMargins left="0.3937007874015748" right="0.3937007874015748" top="0.7874015748031497" bottom="0.3937007874015748" header="0.5118110236220472" footer="0.5118110236220472"/>
  <pageSetup fitToHeight="1" fitToWidth="1" horizontalDpi="600" verticalDpi="600" orientation="portrait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9"/>
  <sheetViews>
    <sheetView zoomScale="60" zoomScaleNormal="60" workbookViewId="0" topLeftCell="A1">
      <pane xSplit="1" ySplit="4" topLeftCell="B5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80" sqref="E80"/>
    </sheetView>
  </sheetViews>
  <sheetFormatPr defaultColWidth="9.00390625" defaultRowHeight="12.75"/>
  <cols>
    <col min="1" max="1" width="51.00390625" style="0" customWidth="1"/>
    <col min="2" max="6" width="25.25390625" style="0" customWidth="1"/>
  </cols>
  <sheetData>
    <row r="1" spans="1:6" s="54" customFormat="1" ht="47.25" customHeight="1">
      <c r="A1" s="53" t="s">
        <v>45</v>
      </c>
      <c r="B1" s="53"/>
      <c r="C1" s="53"/>
      <c r="D1" s="53"/>
      <c r="E1" s="53"/>
      <c r="F1" s="53"/>
    </row>
    <row r="2" spans="1:6" s="57" customFormat="1" ht="23.25">
      <c r="A2" s="55" t="s">
        <v>57</v>
      </c>
      <c r="B2" s="55"/>
      <c r="C2" s="55"/>
      <c r="D2" s="56"/>
      <c r="E2" s="56"/>
      <c r="F2" s="56"/>
    </row>
    <row r="3" s="58" customFormat="1" ht="18.75" thickBot="1">
      <c r="F3" s="59" t="s">
        <v>46</v>
      </c>
    </row>
    <row r="4" spans="1:6" s="2" customFormat="1" ht="29.25" customHeight="1" thickBot="1">
      <c r="A4" s="61" t="s">
        <v>28</v>
      </c>
      <c r="B4" s="62"/>
      <c r="C4" s="63" t="s">
        <v>0</v>
      </c>
      <c r="D4" s="63" t="s">
        <v>1</v>
      </c>
      <c r="E4" s="63" t="s">
        <v>2</v>
      </c>
      <c r="F4" s="64" t="s">
        <v>3</v>
      </c>
    </row>
    <row r="5" spans="1:6" s="3" customFormat="1" ht="57" customHeight="1">
      <c r="A5" s="89" t="s">
        <v>7</v>
      </c>
      <c r="B5" s="72">
        <f aca="true" t="shared" si="0" ref="B5:B69">C5+D5+E5+F5</f>
        <v>88316.955</v>
      </c>
      <c r="C5" s="67">
        <f>C6+C7</f>
        <v>39132.014</v>
      </c>
      <c r="D5" s="67">
        <f>D6+D7</f>
        <v>1534.578</v>
      </c>
      <c r="E5" s="67">
        <f>E6+E7</f>
        <v>20599.139000000003</v>
      </c>
      <c r="F5" s="68">
        <f>F6+F7</f>
        <v>27051.224</v>
      </c>
    </row>
    <row r="6" spans="1:6" s="3" customFormat="1" ht="27" customHeight="1">
      <c r="A6" s="19" t="s">
        <v>25</v>
      </c>
      <c r="B6" s="6">
        <f t="shared" si="0"/>
        <v>72682.473</v>
      </c>
      <c r="C6" s="8">
        <f>39132.014-C7</f>
        <v>38877.552</v>
      </c>
      <c r="D6" s="8">
        <f>1534.578-D7</f>
        <v>1532.545</v>
      </c>
      <c r="E6" s="8">
        <f>20599.139-E7</f>
        <v>19936.362</v>
      </c>
      <c r="F6" s="9">
        <f>27051.224-F7</f>
        <v>12336.014</v>
      </c>
    </row>
    <row r="7" spans="1:6" s="3" customFormat="1" ht="20.25" customHeight="1">
      <c r="A7" s="19" t="s">
        <v>22</v>
      </c>
      <c r="B7" s="6">
        <f t="shared" si="0"/>
        <v>15634.482</v>
      </c>
      <c r="C7" s="8">
        <f>C8+C9</f>
        <v>254.462</v>
      </c>
      <c r="D7" s="15">
        <f>D8+D9</f>
        <v>2.033</v>
      </c>
      <c r="E7" s="15">
        <f>E8+E9</f>
        <v>662.777</v>
      </c>
      <c r="F7" s="16">
        <f>F8+F9</f>
        <v>14715.21</v>
      </c>
    </row>
    <row r="8" spans="1:6" s="3" customFormat="1" ht="21.75" customHeight="1">
      <c r="A8" s="19" t="s">
        <v>23</v>
      </c>
      <c r="B8" s="6">
        <f t="shared" si="0"/>
        <v>4290.907</v>
      </c>
      <c r="C8" s="11">
        <f>52.406+10.654</f>
        <v>63.06</v>
      </c>
      <c r="D8" s="11"/>
      <c r="E8" s="11">
        <v>96.513</v>
      </c>
      <c r="F8" s="12">
        <f>4118.001+13.333</f>
        <v>4131.334</v>
      </c>
    </row>
    <row r="9" spans="1:6" s="3" customFormat="1" ht="24.75" customHeight="1">
      <c r="A9" s="19" t="s">
        <v>24</v>
      </c>
      <c r="B9" s="6">
        <f t="shared" si="0"/>
        <v>11343.575</v>
      </c>
      <c r="C9" s="11">
        <v>191.402</v>
      </c>
      <c r="D9" s="11">
        <v>2.033</v>
      </c>
      <c r="E9" s="11">
        <v>566.264</v>
      </c>
      <c r="F9" s="12">
        <f>16041.64-C7-D7-E7-F8-407.158</f>
        <v>10583.876</v>
      </c>
    </row>
    <row r="10" spans="1:6" s="3" customFormat="1" ht="47.25" customHeight="1">
      <c r="A10" s="90" t="s">
        <v>15</v>
      </c>
      <c r="B10" s="6">
        <f t="shared" si="0"/>
        <v>6400.044</v>
      </c>
      <c r="C10" s="15">
        <f>C11+C12</f>
        <v>1022.22</v>
      </c>
      <c r="D10" s="15"/>
      <c r="E10" s="15">
        <f>E11+E12</f>
        <v>2380.495</v>
      </c>
      <c r="F10" s="16">
        <f>F11+F12</f>
        <v>2997.329</v>
      </c>
    </row>
    <row r="11" spans="1:6" s="3" customFormat="1" ht="21.75" customHeight="1">
      <c r="A11" s="19" t="s">
        <v>25</v>
      </c>
      <c r="B11" s="6">
        <f t="shared" si="0"/>
        <v>4414.934</v>
      </c>
      <c r="C11" s="8">
        <f>1022.22-C12</f>
        <v>976.2660000000001</v>
      </c>
      <c r="D11" s="8"/>
      <c r="E11" s="8">
        <f>2380.495-E12</f>
        <v>1936.629</v>
      </c>
      <c r="F11" s="9">
        <f>2997.329-F12</f>
        <v>1502.0390000000002</v>
      </c>
    </row>
    <row r="12" spans="1:6" s="3" customFormat="1" ht="19.5" customHeight="1">
      <c r="A12" s="19" t="s">
        <v>22</v>
      </c>
      <c r="B12" s="6">
        <f t="shared" si="0"/>
        <v>1985.11</v>
      </c>
      <c r="C12" s="15">
        <f>C13+C14</f>
        <v>45.954</v>
      </c>
      <c r="D12" s="8"/>
      <c r="E12" s="15">
        <f>E13+E14</f>
        <v>443.866</v>
      </c>
      <c r="F12" s="16">
        <f>F13+F14</f>
        <v>1495.29</v>
      </c>
    </row>
    <row r="13" spans="1:6" s="3" customFormat="1" ht="17.25" customHeight="1">
      <c r="A13" s="19" t="s">
        <v>23</v>
      </c>
      <c r="B13" s="6">
        <f t="shared" si="0"/>
        <v>1090.2820000000002</v>
      </c>
      <c r="C13" s="11"/>
      <c r="D13" s="11"/>
      <c r="E13" s="11">
        <v>46.429</v>
      </c>
      <c r="F13" s="12">
        <v>1043.853</v>
      </c>
    </row>
    <row r="14" spans="1:6" s="3" customFormat="1" ht="17.25" customHeight="1">
      <c r="A14" s="19" t="s">
        <v>24</v>
      </c>
      <c r="B14" s="6">
        <f t="shared" si="0"/>
        <v>894.828</v>
      </c>
      <c r="C14" s="11">
        <v>45.954</v>
      </c>
      <c r="D14" s="11"/>
      <c r="E14" s="11">
        <v>397.437</v>
      </c>
      <c r="F14" s="12">
        <v>451.437</v>
      </c>
    </row>
    <row r="15" spans="1:6" s="3" customFormat="1" ht="35.25" customHeight="1">
      <c r="A15" s="90" t="s">
        <v>6</v>
      </c>
      <c r="B15" s="6">
        <f t="shared" si="0"/>
        <v>1570.778</v>
      </c>
      <c r="C15" s="15">
        <f>C16+C17</f>
        <v>1570.778</v>
      </c>
      <c r="D15" s="8"/>
      <c r="E15" s="8"/>
      <c r="F15" s="9"/>
    </row>
    <row r="16" spans="1:6" s="3" customFormat="1" ht="19.5" customHeight="1">
      <c r="A16" s="19" t="s">
        <v>25</v>
      </c>
      <c r="B16" s="6">
        <f t="shared" si="0"/>
        <v>1570.778</v>
      </c>
      <c r="C16" s="8">
        <v>1570.778</v>
      </c>
      <c r="D16" s="8"/>
      <c r="E16" s="15"/>
      <c r="F16" s="16"/>
    </row>
    <row r="17" spans="1:6" s="3" customFormat="1" ht="18" customHeight="1">
      <c r="A17" s="19" t="s">
        <v>22</v>
      </c>
      <c r="B17" s="6">
        <f t="shared" si="0"/>
        <v>0</v>
      </c>
      <c r="C17" s="8"/>
      <c r="D17" s="8"/>
      <c r="E17" s="15">
        <f>E18+E19</f>
        <v>0</v>
      </c>
      <c r="F17" s="16">
        <f>F18+F19</f>
        <v>0</v>
      </c>
    </row>
    <row r="18" spans="1:6" s="3" customFormat="1" ht="19.5" customHeight="1">
      <c r="A18" s="19" t="s">
        <v>23</v>
      </c>
      <c r="B18" s="6">
        <f t="shared" si="0"/>
        <v>0</v>
      </c>
      <c r="C18" s="11"/>
      <c r="D18" s="11"/>
      <c r="E18" s="11"/>
      <c r="F18" s="12"/>
    </row>
    <row r="19" spans="1:6" s="3" customFormat="1" ht="19.5" customHeight="1">
      <c r="A19" s="19" t="s">
        <v>24</v>
      </c>
      <c r="B19" s="6">
        <f t="shared" si="0"/>
        <v>0</v>
      </c>
      <c r="C19" s="11"/>
      <c r="D19" s="11"/>
      <c r="E19" s="11"/>
      <c r="F19" s="12"/>
    </row>
    <row r="20" spans="1:6" s="3" customFormat="1" ht="51" customHeight="1">
      <c r="A20" s="90" t="s">
        <v>8</v>
      </c>
      <c r="B20" s="6">
        <f t="shared" si="0"/>
        <v>1106.376</v>
      </c>
      <c r="C20" s="15">
        <f>C21+C22</f>
        <v>10.834</v>
      </c>
      <c r="D20" s="15">
        <f>D21+D22</f>
        <v>996.193</v>
      </c>
      <c r="E20" s="15">
        <f>E21+E22</f>
        <v>15.541</v>
      </c>
      <c r="F20" s="16">
        <f>F21+F22</f>
        <v>83.808</v>
      </c>
    </row>
    <row r="21" spans="1:6" s="3" customFormat="1" ht="21.75" customHeight="1">
      <c r="A21" s="19" t="s">
        <v>25</v>
      </c>
      <c r="B21" s="6">
        <f t="shared" si="0"/>
        <v>1085.536</v>
      </c>
      <c r="C21" s="8">
        <v>10.834</v>
      </c>
      <c r="D21" s="8">
        <v>996.193</v>
      </c>
      <c r="E21" s="8">
        <v>15.541</v>
      </c>
      <c r="F21" s="9">
        <f>83.808-F22</f>
        <v>62.968</v>
      </c>
    </row>
    <row r="22" spans="1:6" s="3" customFormat="1" ht="21" customHeight="1">
      <c r="A22" s="19" t="s">
        <v>22</v>
      </c>
      <c r="B22" s="6">
        <f t="shared" si="0"/>
        <v>20.84</v>
      </c>
      <c r="C22" s="8"/>
      <c r="D22" s="8"/>
      <c r="E22" s="15">
        <f>E23+E24</f>
        <v>0</v>
      </c>
      <c r="F22" s="16">
        <f>F23+F24</f>
        <v>20.84</v>
      </c>
    </row>
    <row r="23" spans="1:6" s="3" customFormat="1" ht="21.75" customHeight="1">
      <c r="A23" s="19" t="s">
        <v>23</v>
      </c>
      <c r="B23" s="6">
        <f t="shared" si="0"/>
        <v>20.84</v>
      </c>
      <c r="C23" s="11"/>
      <c r="D23" s="11"/>
      <c r="E23" s="11"/>
      <c r="F23" s="12">
        <v>20.84</v>
      </c>
    </row>
    <row r="24" spans="1:6" s="3" customFormat="1" ht="21" customHeight="1">
      <c r="A24" s="19" t="s">
        <v>24</v>
      </c>
      <c r="B24" s="6">
        <f t="shared" si="0"/>
        <v>0</v>
      </c>
      <c r="C24" s="11"/>
      <c r="D24" s="11"/>
      <c r="E24" s="11"/>
      <c r="F24" s="12"/>
    </row>
    <row r="25" spans="1:6" s="3" customFormat="1" ht="41.25" customHeight="1">
      <c r="A25" s="90" t="s">
        <v>9</v>
      </c>
      <c r="B25" s="6">
        <f t="shared" si="0"/>
        <v>10258.292</v>
      </c>
      <c r="C25" s="15">
        <f>C26+C27</f>
        <v>4694.227</v>
      </c>
      <c r="D25" s="15"/>
      <c r="E25" s="15">
        <f>E26+E27</f>
        <v>1347.674</v>
      </c>
      <c r="F25" s="16">
        <f>F26+F27</f>
        <v>4216.391</v>
      </c>
    </row>
    <row r="26" spans="1:6" s="3" customFormat="1" ht="19.5" customHeight="1">
      <c r="A26" s="19" t="s">
        <v>25</v>
      </c>
      <c r="B26" s="6">
        <f t="shared" si="0"/>
        <v>7911.583</v>
      </c>
      <c r="C26" s="8">
        <v>4694.227</v>
      </c>
      <c r="D26" s="8"/>
      <c r="E26" s="15">
        <v>1347.674</v>
      </c>
      <c r="F26" s="16">
        <f>4216.391-F27</f>
        <v>1869.6819999999998</v>
      </c>
    </row>
    <row r="27" spans="1:6" s="3" customFormat="1" ht="24.75" customHeight="1">
      <c r="A27" s="19" t="s">
        <v>22</v>
      </c>
      <c r="B27" s="6">
        <f t="shared" si="0"/>
        <v>2346.709</v>
      </c>
      <c r="C27" s="8"/>
      <c r="D27" s="8"/>
      <c r="E27" s="15">
        <f>E28+E29</f>
        <v>0</v>
      </c>
      <c r="F27" s="16">
        <f>F28+F29</f>
        <v>2346.709</v>
      </c>
    </row>
    <row r="28" spans="1:6" s="3" customFormat="1" ht="25.5" customHeight="1">
      <c r="A28" s="19" t="s">
        <v>23</v>
      </c>
      <c r="B28" s="6">
        <f t="shared" si="0"/>
        <v>2320.209</v>
      </c>
      <c r="C28" s="11"/>
      <c r="D28" s="11"/>
      <c r="E28" s="11"/>
      <c r="F28" s="12">
        <f>2346.709-F29</f>
        <v>2320.209</v>
      </c>
    </row>
    <row r="29" spans="1:6" s="3" customFormat="1" ht="20.25" customHeight="1">
      <c r="A29" s="19" t="s">
        <v>24</v>
      </c>
      <c r="B29" s="6">
        <f t="shared" si="0"/>
        <v>26.5</v>
      </c>
      <c r="C29" s="11"/>
      <c r="D29" s="11"/>
      <c r="E29" s="11"/>
      <c r="F29" s="12">
        <v>26.5</v>
      </c>
    </row>
    <row r="30" spans="1:6" s="3" customFormat="1" ht="50.25" customHeight="1">
      <c r="A30" s="90" t="s">
        <v>10</v>
      </c>
      <c r="B30" s="6">
        <f t="shared" si="0"/>
        <v>96.65</v>
      </c>
      <c r="C30" s="15"/>
      <c r="D30" s="15"/>
      <c r="E30" s="15">
        <f>E31+E32</f>
        <v>49.568</v>
      </c>
      <c r="F30" s="16">
        <f>F31+F32</f>
        <v>47.082</v>
      </c>
    </row>
    <row r="31" spans="1:6" s="3" customFormat="1" ht="22.5" customHeight="1">
      <c r="A31" s="19" t="s">
        <v>25</v>
      </c>
      <c r="B31" s="6">
        <f t="shared" si="0"/>
        <v>70.207</v>
      </c>
      <c r="C31" s="8"/>
      <c r="D31" s="8"/>
      <c r="E31" s="15">
        <v>49.568</v>
      </c>
      <c r="F31" s="16">
        <f>47.082-F32</f>
        <v>20.639000000000003</v>
      </c>
    </row>
    <row r="32" spans="1:6" s="3" customFormat="1" ht="24.75" customHeight="1">
      <c r="A32" s="19" t="s">
        <v>22</v>
      </c>
      <c r="B32" s="6">
        <f t="shared" si="0"/>
        <v>26.442999999999998</v>
      </c>
      <c r="C32" s="8"/>
      <c r="D32" s="8"/>
      <c r="E32" s="15">
        <f>E33+E34</f>
        <v>0</v>
      </c>
      <c r="F32" s="16">
        <f>F33+F34</f>
        <v>26.442999999999998</v>
      </c>
    </row>
    <row r="33" spans="1:6" s="3" customFormat="1" ht="18" customHeight="1">
      <c r="A33" s="19" t="s">
        <v>23</v>
      </c>
      <c r="B33" s="6">
        <f t="shared" si="0"/>
        <v>22.645</v>
      </c>
      <c r="C33" s="11"/>
      <c r="D33" s="11"/>
      <c r="E33" s="11"/>
      <c r="F33" s="12">
        <v>22.645</v>
      </c>
    </row>
    <row r="34" spans="1:6" s="3" customFormat="1" ht="18" customHeight="1">
      <c r="A34" s="19" t="s">
        <v>24</v>
      </c>
      <c r="B34" s="6">
        <f t="shared" si="0"/>
        <v>3.798</v>
      </c>
      <c r="C34" s="11"/>
      <c r="D34" s="11"/>
      <c r="E34" s="11"/>
      <c r="F34" s="12">
        <v>3.798</v>
      </c>
    </row>
    <row r="35" spans="1:6" s="3" customFormat="1" ht="25.5" customHeight="1">
      <c r="A35" s="90" t="s">
        <v>40</v>
      </c>
      <c r="B35" s="6">
        <f t="shared" si="0"/>
        <v>0</v>
      </c>
      <c r="C35" s="21"/>
      <c r="D35" s="21"/>
      <c r="E35" s="15">
        <f>E36+E37</f>
        <v>0</v>
      </c>
      <c r="F35" s="16">
        <f>F36+F37</f>
        <v>0</v>
      </c>
    </row>
    <row r="36" spans="1:6" s="3" customFormat="1" ht="23.25" customHeight="1">
      <c r="A36" s="19" t="s">
        <v>25</v>
      </c>
      <c r="B36" s="6">
        <f t="shared" si="0"/>
        <v>0</v>
      </c>
      <c r="C36" s="8"/>
      <c r="D36" s="8"/>
      <c r="E36" s="8"/>
      <c r="F36" s="9"/>
    </row>
    <row r="37" spans="1:6" s="3" customFormat="1" ht="23.25" customHeight="1">
      <c r="A37" s="19" t="s">
        <v>22</v>
      </c>
      <c r="B37" s="6">
        <f t="shared" si="0"/>
        <v>0</v>
      </c>
      <c r="C37" s="8"/>
      <c r="D37" s="8"/>
      <c r="E37" s="15">
        <f>E38+E39</f>
        <v>0</v>
      </c>
      <c r="F37" s="16">
        <f>F38+F39</f>
        <v>0</v>
      </c>
    </row>
    <row r="38" spans="1:6" s="3" customFormat="1" ht="23.25" customHeight="1">
      <c r="A38" s="19" t="s">
        <v>23</v>
      </c>
      <c r="B38" s="6">
        <f t="shared" si="0"/>
        <v>0</v>
      </c>
      <c r="C38" s="21"/>
      <c r="D38" s="21"/>
      <c r="E38" s="21"/>
      <c r="F38" s="25"/>
    </row>
    <row r="39" spans="1:6" s="3" customFormat="1" ht="23.25" customHeight="1">
      <c r="A39" s="19" t="s">
        <v>24</v>
      </c>
      <c r="B39" s="6">
        <f t="shared" si="0"/>
        <v>0</v>
      </c>
      <c r="C39" s="21"/>
      <c r="D39" s="21"/>
      <c r="E39" s="21"/>
      <c r="F39" s="25"/>
    </row>
    <row r="40" spans="1:6" s="3" customFormat="1" ht="42" customHeight="1">
      <c r="A40" s="90" t="s">
        <v>41</v>
      </c>
      <c r="B40" s="6">
        <f t="shared" si="0"/>
        <v>0</v>
      </c>
      <c r="C40" s="21"/>
      <c r="D40" s="21"/>
      <c r="E40" s="15">
        <f>E41+E42</f>
        <v>0</v>
      </c>
      <c r="F40" s="16">
        <f>F41+F42</f>
        <v>0</v>
      </c>
    </row>
    <row r="41" spans="1:6" s="3" customFormat="1" ht="19.5" customHeight="1">
      <c r="A41" s="19" t="s">
        <v>25</v>
      </c>
      <c r="B41" s="6">
        <f t="shared" si="0"/>
        <v>0</v>
      </c>
      <c r="C41" s="8"/>
      <c r="D41" s="8"/>
      <c r="E41" s="8"/>
      <c r="F41" s="9"/>
    </row>
    <row r="42" spans="1:6" s="3" customFormat="1" ht="19.5" customHeight="1">
      <c r="A42" s="19" t="s">
        <v>22</v>
      </c>
      <c r="B42" s="6">
        <f t="shared" si="0"/>
        <v>0</v>
      </c>
      <c r="C42" s="8"/>
      <c r="D42" s="8"/>
      <c r="E42" s="15">
        <f>E43+E44</f>
        <v>0</v>
      </c>
      <c r="F42" s="16">
        <f>F43+F44</f>
        <v>0</v>
      </c>
    </row>
    <row r="43" spans="1:6" s="3" customFormat="1" ht="19.5" customHeight="1">
      <c r="A43" s="19" t="s">
        <v>23</v>
      </c>
      <c r="B43" s="6">
        <f t="shared" si="0"/>
        <v>0</v>
      </c>
      <c r="C43" s="21"/>
      <c r="D43" s="21"/>
      <c r="E43" s="21"/>
      <c r="F43" s="25"/>
    </row>
    <row r="44" spans="1:6" s="3" customFormat="1" ht="19.5" customHeight="1">
      <c r="A44" s="19" t="s">
        <v>24</v>
      </c>
      <c r="B44" s="6">
        <f t="shared" si="0"/>
        <v>0</v>
      </c>
      <c r="C44" s="21"/>
      <c r="D44" s="21"/>
      <c r="E44" s="21"/>
      <c r="F44" s="25"/>
    </row>
    <row r="45" spans="1:6" s="3" customFormat="1" ht="24.75" customHeight="1">
      <c r="A45" s="90" t="s">
        <v>11</v>
      </c>
      <c r="B45" s="6">
        <f t="shared" si="0"/>
        <v>2857.958</v>
      </c>
      <c r="C45" s="15">
        <f>C46+C47</f>
        <v>0</v>
      </c>
      <c r="D45" s="8"/>
      <c r="E45" s="15">
        <f>E46+E47</f>
        <v>2244.154</v>
      </c>
      <c r="F45" s="16">
        <f>F46+F47</f>
        <v>613.804</v>
      </c>
    </row>
    <row r="46" spans="1:6" s="3" customFormat="1" ht="24.75" customHeight="1">
      <c r="A46" s="19" t="s">
        <v>25</v>
      </c>
      <c r="B46" s="6">
        <f t="shared" si="0"/>
        <v>2409.5069999999996</v>
      </c>
      <c r="C46" s="8"/>
      <c r="D46" s="8"/>
      <c r="E46" s="15">
        <f>2244.154-E47</f>
        <v>2231.334</v>
      </c>
      <c r="F46" s="16">
        <f>613.804-F47</f>
        <v>178.17299999999994</v>
      </c>
    </row>
    <row r="47" spans="1:6" s="3" customFormat="1" ht="24.75" customHeight="1">
      <c r="A47" s="19" t="s">
        <v>22</v>
      </c>
      <c r="B47" s="6">
        <f t="shared" si="0"/>
        <v>448.451</v>
      </c>
      <c r="C47" s="8"/>
      <c r="D47" s="8"/>
      <c r="E47" s="15">
        <f>E48+E49</f>
        <v>12.82</v>
      </c>
      <c r="F47" s="16">
        <f>F48+F49</f>
        <v>435.63100000000003</v>
      </c>
    </row>
    <row r="48" spans="1:6" s="3" customFormat="1" ht="24.75" customHeight="1">
      <c r="A48" s="19" t="s">
        <v>23</v>
      </c>
      <c r="B48" s="6">
        <f t="shared" si="0"/>
        <v>355.42900000000003</v>
      </c>
      <c r="C48" s="8"/>
      <c r="D48" s="8"/>
      <c r="E48" s="11">
        <v>11.55</v>
      </c>
      <c r="F48" s="12">
        <v>343.879</v>
      </c>
    </row>
    <row r="49" spans="1:6" s="3" customFormat="1" ht="24.75" customHeight="1">
      <c r="A49" s="19" t="s">
        <v>24</v>
      </c>
      <c r="B49" s="6">
        <f t="shared" si="0"/>
        <v>93.02199999999999</v>
      </c>
      <c r="C49" s="8"/>
      <c r="D49" s="8"/>
      <c r="E49" s="11">
        <v>1.27</v>
      </c>
      <c r="F49" s="12">
        <v>91.752</v>
      </c>
    </row>
    <row r="50" spans="1:6" s="3" customFormat="1" ht="24.75" customHeight="1">
      <c r="A50" s="90" t="s">
        <v>5</v>
      </c>
      <c r="B50" s="6">
        <f t="shared" si="0"/>
        <v>2283.663</v>
      </c>
      <c r="C50" s="15">
        <f>C51+C52</f>
        <v>348.031</v>
      </c>
      <c r="D50" s="8"/>
      <c r="E50" s="15">
        <f>E51+E52</f>
        <v>901.288</v>
      </c>
      <c r="F50" s="16">
        <f>F51+F52</f>
        <v>1034.344</v>
      </c>
    </row>
    <row r="51" spans="1:6" s="3" customFormat="1" ht="24.75" customHeight="1">
      <c r="A51" s="19" t="s">
        <v>25</v>
      </c>
      <c r="B51" s="6">
        <f t="shared" si="0"/>
        <v>1323.8600000000001</v>
      </c>
      <c r="C51" s="15">
        <v>348.031</v>
      </c>
      <c r="D51" s="8"/>
      <c r="E51" s="15">
        <f>901.288-E52</f>
        <v>422.94100000000003</v>
      </c>
      <c r="F51" s="16">
        <f>1034.344-F52</f>
        <v>552.888</v>
      </c>
    </row>
    <row r="52" spans="1:6" s="3" customFormat="1" ht="24.75" customHeight="1">
      <c r="A52" s="19" t="s">
        <v>22</v>
      </c>
      <c r="B52" s="6">
        <f t="shared" si="0"/>
        <v>959.803</v>
      </c>
      <c r="C52" s="8"/>
      <c r="D52" s="8"/>
      <c r="E52" s="15">
        <f>E53+E54</f>
        <v>478.347</v>
      </c>
      <c r="F52" s="16">
        <f>F53+F54</f>
        <v>481.456</v>
      </c>
    </row>
    <row r="53" spans="1:6" s="3" customFormat="1" ht="24.75" customHeight="1">
      <c r="A53" s="19" t="s">
        <v>23</v>
      </c>
      <c r="B53" s="6">
        <f t="shared" si="0"/>
        <v>959.803</v>
      </c>
      <c r="C53" s="11"/>
      <c r="D53" s="11"/>
      <c r="E53" s="11">
        <v>478.347</v>
      </c>
      <c r="F53" s="12">
        <v>481.456</v>
      </c>
    </row>
    <row r="54" spans="1:6" s="3" customFormat="1" ht="24.75" customHeight="1">
      <c r="A54" s="19" t="s">
        <v>24</v>
      </c>
      <c r="B54" s="6">
        <f t="shared" si="0"/>
        <v>0</v>
      </c>
      <c r="C54" s="11"/>
      <c r="D54" s="11"/>
      <c r="E54" s="11"/>
      <c r="F54" s="12"/>
    </row>
    <row r="55" spans="1:6" s="3" customFormat="1" ht="50.25" customHeight="1">
      <c r="A55" s="90" t="s">
        <v>12</v>
      </c>
      <c r="B55" s="6">
        <f t="shared" si="0"/>
        <v>6053.019</v>
      </c>
      <c r="C55" s="15"/>
      <c r="D55" s="8"/>
      <c r="E55" s="15">
        <f>E56+E57</f>
        <v>1286.795</v>
      </c>
      <c r="F55" s="16">
        <f>F56+F57</f>
        <v>4766.224</v>
      </c>
    </row>
    <row r="56" spans="1:6" s="3" customFormat="1" ht="26.25" customHeight="1">
      <c r="A56" s="19" t="s">
        <v>25</v>
      </c>
      <c r="B56" s="6">
        <f t="shared" si="0"/>
        <v>3173.8959999999997</v>
      </c>
      <c r="C56" s="8"/>
      <c r="D56" s="8"/>
      <c r="E56" s="15">
        <f>1286.795-E57</f>
        <v>1191.934</v>
      </c>
      <c r="F56" s="16">
        <f>4766.224-F57</f>
        <v>1981.962</v>
      </c>
    </row>
    <row r="57" spans="1:6" s="3" customFormat="1" ht="26.25" customHeight="1">
      <c r="A57" s="19" t="s">
        <v>22</v>
      </c>
      <c r="B57" s="6">
        <f t="shared" si="0"/>
        <v>2879.123</v>
      </c>
      <c r="C57" s="8"/>
      <c r="D57" s="8"/>
      <c r="E57" s="15">
        <f>E58+E59</f>
        <v>94.861</v>
      </c>
      <c r="F57" s="16">
        <f>F58+F59</f>
        <v>2784.262</v>
      </c>
    </row>
    <row r="58" spans="1:6" s="3" customFormat="1" ht="26.25" customHeight="1">
      <c r="A58" s="19" t="s">
        <v>23</v>
      </c>
      <c r="B58" s="6">
        <f t="shared" si="0"/>
        <v>781.607</v>
      </c>
      <c r="C58" s="10"/>
      <c r="D58" s="8"/>
      <c r="E58" s="11">
        <v>26.303</v>
      </c>
      <c r="F58" s="12">
        <v>755.304</v>
      </c>
    </row>
    <row r="59" spans="1:6" s="3" customFormat="1" ht="26.25" customHeight="1">
      <c r="A59" s="19" t="s">
        <v>24</v>
      </c>
      <c r="B59" s="6">
        <f t="shared" si="0"/>
        <v>2097.516</v>
      </c>
      <c r="C59" s="10"/>
      <c r="D59" s="8"/>
      <c r="E59" s="11">
        <v>68.558</v>
      </c>
      <c r="F59" s="12">
        <v>2028.958</v>
      </c>
    </row>
    <row r="60" spans="1:6" s="3" customFormat="1" ht="24.75" customHeight="1">
      <c r="A60" s="39" t="s">
        <v>13</v>
      </c>
      <c r="B60" s="6">
        <f t="shared" si="0"/>
        <v>158.326</v>
      </c>
      <c r="C60" s="10"/>
      <c r="D60" s="8"/>
      <c r="E60" s="8">
        <f>E61+E62</f>
        <v>79.452</v>
      </c>
      <c r="F60" s="9">
        <f>F61+F62</f>
        <v>78.874</v>
      </c>
    </row>
    <row r="61" spans="1:6" s="3" customFormat="1" ht="21.75" customHeight="1">
      <c r="A61" s="19" t="s">
        <v>25</v>
      </c>
      <c r="B61" s="6">
        <f t="shared" si="0"/>
        <v>158.326</v>
      </c>
      <c r="C61" s="8"/>
      <c r="D61" s="8"/>
      <c r="E61" s="15">
        <v>79.452</v>
      </c>
      <c r="F61" s="16">
        <v>78.874</v>
      </c>
    </row>
    <row r="62" spans="1:6" s="3" customFormat="1" ht="16.5" customHeight="1">
      <c r="A62" s="19" t="s">
        <v>22</v>
      </c>
      <c r="B62" s="6">
        <f t="shared" si="0"/>
        <v>0</v>
      </c>
      <c r="C62" s="8"/>
      <c r="D62" s="8"/>
      <c r="E62" s="15">
        <f>E63+E64</f>
        <v>0</v>
      </c>
      <c r="F62" s="16">
        <f>F63+F64</f>
        <v>0</v>
      </c>
    </row>
    <row r="63" spans="1:6" s="3" customFormat="1" ht="18" customHeight="1">
      <c r="A63" s="19" t="s">
        <v>23</v>
      </c>
      <c r="B63" s="6">
        <f t="shared" si="0"/>
        <v>0</v>
      </c>
      <c r="C63" s="10"/>
      <c r="D63" s="8"/>
      <c r="E63" s="10"/>
      <c r="F63" s="17"/>
    </row>
    <row r="64" spans="1:6" s="3" customFormat="1" ht="18" customHeight="1">
      <c r="A64" s="19" t="s">
        <v>24</v>
      </c>
      <c r="B64" s="6">
        <f t="shared" si="0"/>
        <v>0</v>
      </c>
      <c r="C64" s="10"/>
      <c r="D64" s="8"/>
      <c r="E64" s="10"/>
      <c r="F64" s="17"/>
    </row>
    <row r="65" spans="1:6" s="3" customFormat="1" ht="24.75" customHeight="1">
      <c r="A65" s="39" t="s">
        <v>4</v>
      </c>
      <c r="B65" s="6">
        <f t="shared" si="0"/>
        <v>652.125</v>
      </c>
      <c r="C65" s="15">
        <f>C66+C67</f>
        <v>652.125</v>
      </c>
      <c r="D65" s="8"/>
      <c r="E65" s="8"/>
      <c r="F65" s="9"/>
    </row>
    <row r="66" spans="1:6" s="3" customFormat="1" ht="21.75" customHeight="1">
      <c r="A66" s="19" t="s">
        <v>25</v>
      </c>
      <c r="B66" s="6">
        <f t="shared" si="0"/>
        <v>652.125</v>
      </c>
      <c r="C66" s="15">
        <v>652.125</v>
      </c>
      <c r="D66" s="8"/>
      <c r="E66" s="15">
        <f>E65-E67</f>
        <v>0</v>
      </c>
      <c r="F66" s="16">
        <f>F65-F67</f>
        <v>0</v>
      </c>
    </row>
    <row r="67" spans="1:6" s="3" customFormat="1" ht="18" customHeight="1">
      <c r="A67" s="19" t="s">
        <v>22</v>
      </c>
      <c r="B67" s="6">
        <f t="shared" si="0"/>
        <v>0</v>
      </c>
      <c r="C67" s="15">
        <f>C68+C69</f>
        <v>0</v>
      </c>
      <c r="D67" s="8"/>
      <c r="E67" s="15">
        <f>E68+E69</f>
        <v>0</v>
      </c>
      <c r="F67" s="16">
        <f>F68+F69</f>
        <v>0</v>
      </c>
    </row>
    <row r="68" spans="1:6" s="3" customFormat="1" ht="19.5" customHeight="1">
      <c r="A68" s="19" t="s">
        <v>23</v>
      </c>
      <c r="B68" s="6">
        <f t="shared" si="0"/>
        <v>0</v>
      </c>
      <c r="C68" s="11"/>
      <c r="D68" s="8"/>
      <c r="E68" s="8"/>
      <c r="F68" s="9"/>
    </row>
    <row r="69" spans="1:6" s="3" customFormat="1" ht="19.5" customHeight="1">
      <c r="A69" s="19" t="s">
        <v>24</v>
      </c>
      <c r="B69" s="6">
        <f t="shared" si="0"/>
        <v>0</v>
      </c>
      <c r="C69" s="11"/>
      <c r="D69" s="8"/>
      <c r="E69" s="8"/>
      <c r="F69" s="9"/>
    </row>
    <row r="70" spans="1:6" s="4" customFormat="1" ht="27.75" customHeight="1">
      <c r="A70" s="39" t="s">
        <v>34</v>
      </c>
      <c r="B70" s="6">
        <f>C70+D70+E70+F70</f>
        <v>282.55</v>
      </c>
      <c r="C70" s="10"/>
      <c r="D70" s="10"/>
      <c r="E70" s="11">
        <v>282.55</v>
      </c>
      <c r="F70" s="17"/>
    </row>
    <row r="71" spans="1:6" s="4" customFormat="1" ht="27.75" customHeight="1">
      <c r="A71" s="39" t="s">
        <v>35</v>
      </c>
      <c r="B71" s="6">
        <f aca="true" t="shared" si="1" ref="B71:B79">C71+D71+E71+F71</f>
        <v>29.838</v>
      </c>
      <c r="C71" s="10"/>
      <c r="D71" s="10"/>
      <c r="E71" s="11">
        <v>29.838</v>
      </c>
      <c r="F71" s="17"/>
    </row>
    <row r="72" spans="1:6" s="4" customFormat="1" ht="27.75" customHeight="1">
      <c r="A72" s="39" t="s">
        <v>42</v>
      </c>
      <c r="B72" s="6">
        <f t="shared" si="1"/>
        <v>509.051</v>
      </c>
      <c r="C72" s="10"/>
      <c r="D72" s="10"/>
      <c r="E72" s="24">
        <v>437.854</v>
      </c>
      <c r="F72" s="25">
        <v>71.197</v>
      </c>
    </row>
    <row r="73" spans="1:6" s="4" customFormat="1" ht="42.75" customHeight="1">
      <c r="A73" s="48" t="s">
        <v>43</v>
      </c>
      <c r="B73" s="6">
        <f t="shared" si="1"/>
        <v>1567.1899999999998</v>
      </c>
      <c r="C73" s="75">
        <v>1555.6</v>
      </c>
      <c r="D73" s="75"/>
      <c r="E73" s="75"/>
      <c r="F73" s="76">
        <v>11.59</v>
      </c>
    </row>
    <row r="74" spans="1:6" s="4" customFormat="1" ht="27.75" customHeight="1">
      <c r="A74" s="39" t="s">
        <v>36</v>
      </c>
      <c r="B74" s="6">
        <f t="shared" si="1"/>
        <v>855.854</v>
      </c>
      <c r="C74" s="10">
        <v>855.854</v>
      </c>
      <c r="D74" s="10"/>
      <c r="E74" s="10"/>
      <c r="F74" s="17"/>
    </row>
    <row r="75" spans="1:6" s="4" customFormat="1" ht="27.75" customHeight="1">
      <c r="A75" s="39" t="s">
        <v>44</v>
      </c>
      <c r="B75" s="6">
        <f t="shared" si="1"/>
        <v>0</v>
      </c>
      <c r="C75" s="10"/>
      <c r="D75" s="10"/>
      <c r="E75" s="10"/>
      <c r="F75" s="17"/>
    </row>
    <row r="76" spans="1:6" s="4" customFormat="1" ht="44.25" customHeight="1">
      <c r="A76" s="48" t="s">
        <v>37</v>
      </c>
      <c r="B76" s="79">
        <f t="shared" si="1"/>
        <v>0</v>
      </c>
      <c r="C76" s="46"/>
      <c r="D76" s="46"/>
      <c r="E76" s="46"/>
      <c r="F76" s="47"/>
    </row>
    <row r="77" spans="1:6" s="4" customFormat="1" ht="50.25" customHeight="1">
      <c r="A77" s="80" t="s">
        <v>38</v>
      </c>
      <c r="B77" s="79">
        <f t="shared" si="1"/>
        <v>0</v>
      </c>
      <c r="C77" s="46"/>
      <c r="D77" s="46"/>
      <c r="E77" s="46"/>
      <c r="F77" s="47"/>
    </row>
    <row r="78" spans="1:6" s="4" customFormat="1" ht="54.75" thickBot="1">
      <c r="A78" s="82" t="s">
        <v>39</v>
      </c>
      <c r="B78" s="83">
        <f t="shared" si="1"/>
        <v>0</v>
      </c>
      <c r="C78" s="84"/>
      <c r="D78" s="84"/>
      <c r="E78" s="84"/>
      <c r="F78" s="85"/>
    </row>
    <row r="79" spans="1:6" s="4" customFormat="1" ht="33.75" customHeight="1" thickBot="1">
      <c r="A79" s="38" t="s">
        <v>14</v>
      </c>
      <c r="B79" s="91">
        <f t="shared" si="1"/>
        <v>122998.66900000001</v>
      </c>
      <c r="C79" s="92">
        <f>C5+C10+C15+C20+C25+C30+C35+C40+C45+C50+C55+C60+C65+C70+C70+C71+C72+C73+C74+C75+C76+C77+C78</f>
        <v>49841.683000000005</v>
      </c>
      <c r="D79" s="92">
        <f>D5+D10+D15+D20+D25+D30+D35+D40+D45+D50+D55+D60+D65+D70+D70+D71+D72+D73+D74+D75+D76+D77+D78</f>
        <v>2530.7709999999997</v>
      </c>
      <c r="E79" s="92">
        <f>E5+E10+E15+E20+E25+E30+E35+E40+E45+E50+E55+E60+E65+E70+E71+E72+E73+E74+E75+E76+E77+E78</f>
        <v>29654.348</v>
      </c>
      <c r="F79" s="92">
        <f>F5+F10+F15+F20+F25+F30+F35+F40+F45+F50+F55+F60+F65+F70+F70+F71+F72+F73+F74+F75+F76+F77+F78</f>
        <v>40971.867</v>
      </c>
    </row>
    <row r="80" s="4" customFormat="1" ht="12.75"/>
    <row r="81" s="4" customFormat="1" ht="12.75"/>
    <row r="82" s="4" customFormat="1" ht="12.75"/>
    <row r="83" s="4" customFormat="1" ht="12.75"/>
    <row r="84" s="4" customFormat="1" ht="12.75"/>
    <row r="85" s="4" customFormat="1" ht="12.75"/>
    <row r="86" s="4" customFormat="1" ht="12.75"/>
    <row r="87" s="4" customFormat="1" ht="12.75"/>
    <row r="88" s="4" customFormat="1" ht="12.75"/>
    <row r="89" s="4" customFormat="1" ht="12.75"/>
    <row r="90" s="4" customFormat="1" ht="12.75"/>
    <row r="91" s="4" customFormat="1" ht="12.75"/>
    <row r="92" s="4" customFormat="1" ht="12.75"/>
    <row r="93" s="4" customFormat="1" ht="12.75"/>
    <row r="94" s="4" customFormat="1" ht="12.75"/>
    <row r="95" s="4" customFormat="1" ht="12.75"/>
    <row r="96" s="4" customFormat="1" ht="12.75"/>
    <row r="97" s="4" customFormat="1" ht="12.75"/>
    <row r="98" s="4" customFormat="1" ht="12.75"/>
    <row r="99" s="4" customFormat="1" ht="12.75"/>
    <row r="100" s="4" customFormat="1" ht="12.75"/>
    <row r="101" s="4" customFormat="1" ht="12.75"/>
    <row r="102" s="4" customFormat="1" ht="12.75"/>
    <row r="103" s="4" customFormat="1" ht="12.75"/>
    <row r="104" s="4" customFormat="1" ht="12.75"/>
    <row r="105" s="4" customFormat="1" ht="12.75"/>
    <row r="106" s="4" customFormat="1" ht="12.75"/>
    <row r="107" s="4" customFormat="1" ht="12.75"/>
    <row r="108" s="4" customFormat="1" ht="12.75"/>
    <row r="109" s="4" customFormat="1" ht="12.75"/>
    <row r="110" s="4" customFormat="1" ht="12.75"/>
    <row r="111" s="4" customFormat="1" ht="12.75"/>
    <row r="112" s="4" customFormat="1" ht="12.75"/>
    <row r="113" s="4" customFormat="1" ht="12.75"/>
    <row r="114" s="4" customFormat="1" ht="12.75"/>
    <row r="115" s="4" customFormat="1" ht="12.75"/>
    <row r="116" s="4" customFormat="1" ht="12.75"/>
    <row r="117" s="4" customFormat="1" ht="12.75"/>
    <row r="118" s="4" customFormat="1" ht="12.75"/>
    <row r="119" s="4" customFormat="1" ht="12.75"/>
    <row r="120" s="4" customFormat="1" ht="12.75"/>
    <row r="121" s="4" customFormat="1" ht="12.75"/>
    <row r="122" s="4" customFormat="1" ht="12.75"/>
    <row r="123" s="4" customFormat="1" ht="12.75"/>
    <row r="124" s="4" customFormat="1" ht="12.75"/>
    <row r="125" s="4" customFormat="1" ht="12.75"/>
    <row r="126" s="4" customFormat="1" ht="12.75"/>
    <row r="127" s="4" customFormat="1" ht="12.75"/>
    <row r="128" s="4" customFormat="1" ht="12.75"/>
    <row r="129" s="4" customFormat="1" ht="12.75"/>
    <row r="130" s="4" customFormat="1" ht="12.75"/>
    <row r="131" s="4" customFormat="1" ht="12.75"/>
    <row r="132" s="4" customFormat="1" ht="12.75"/>
    <row r="133" s="4" customFormat="1" ht="12.75"/>
    <row r="134" s="4" customFormat="1" ht="12.75"/>
    <row r="135" s="4" customFormat="1" ht="12.75"/>
    <row r="136" s="4" customFormat="1" ht="12.75"/>
    <row r="137" s="4" customFormat="1" ht="12.75"/>
    <row r="138" s="4" customFormat="1" ht="12.75"/>
    <row r="139" s="4" customFormat="1" ht="12.75"/>
    <row r="140" s="4" customFormat="1" ht="12.75"/>
    <row r="141" s="4" customFormat="1" ht="12.75"/>
    <row r="142" s="4" customFormat="1" ht="12.75"/>
    <row r="143" s="4" customFormat="1" ht="12.75"/>
    <row r="144" s="4" customFormat="1" ht="12.75"/>
    <row r="145" s="4" customFormat="1" ht="12.75"/>
    <row r="146" s="4" customFormat="1" ht="12.75"/>
    <row r="147" s="4" customFormat="1" ht="12.75"/>
    <row r="148" s="4" customFormat="1" ht="12.75"/>
    <row r="149" s="4" customFormat="1" ht="12.75"/>
    <row r="150" s="4" customFormat="1" ht="12.75"/>
    <row r="151" s="4" customFormat="1" ht="12.75"/>
    <row r="152" s="4" customFormat="1" ht="12.75"/>
    <row r="153" s="4" customFormat="1" ht="12.75"/>
    <row r="154" s="4" customFormat="1" ht="12.75"/>
    <row r="155" s="4" customFormat="1" ht="12.75"/>
    <row r="156" s="4" customFormat="1" ht="12.75"/>
    <row r="157" s="4" customFormat="1" ht="12.75"/>
    <row r="158" s="4" customFormat="1" ht="12.75"/>
    <row r="159" s="4" customFormat="1" ht="12.75"/>
    <row r="160" s="4" customFormat="1" ht="12.75"/>
    <row r="161" s="4" customFormat="1" ht="12.75"/>
    <row r="162" s="4" customFormat="1" ht="12.75"/>
    <row r="163" s="4" customFormat="1" ht="12.75"/>
    <row r="164" s="4" customFormat="1" ht="12.75"/>
    <row r="165" s="4" customFormat="1" ht="12.75"/>
    <row r="166" s="4" customFormat="1" ht="12.75"/>
    <row r="167" s="4" customFormat="1" ht="12.75"/>
    <row r="168" s="4" customFormat="1" ht="12.75"/>
    <row r="169" s="4" customFormat="1" ht="12.75"/>
    <row r="170" s="4" customFormat="1" ht="12.75"/>
    <row r="171" s="4" customFormat="1" ht="12.75"/>
    <row r="172" s="4" customFormat="1" ht="12.75"/>
    <row r="173" s="4" customFormat="1" ht="12.75"/>
    <row r="174" s="4" customFormat="1" ht="12.75"/>
    <row r="175" s="4" customFormat="1" ht="12.75"/>
    <row r="176" s="4" customFormat="1" ht="12.75"/>
    <row r="177" s="4" customFormat="1" ht="12.75"/>
    <row r="178" s="4" customFormat="1" ht="12.75"/>
    <row r="179" s="4" customFormat="1" ht="12.75"/>
    <row r="180" s="4" customFormat="1" ht="12.75"/>
    <row r="181" s="4" customFormat="1" ht="12.75"/>
    <row r="182" s="4" customFormat="1" ht="12.75"/>
    <row r="183" s="4" customFormat="1" ht="12.75"/>
    <row r="184" s="4" customFormat="1" ht="12.75"/>
    <row r="185" s="4" customFormat="1" ht="12.75"/>
    <row r="186" s="4" customFormat="1" ht="12.75"/>
    <row r="187" s="4" customFormat="1" ht="12.75"/>
    <row r="188" s="4" customFormat="1" ht="12.75"/>
    <row r="189" s="4" customFormat="1" ht="12.75"/>
    <row r="190" s="4" customFormat="1" ht="12.75"/>
    <row r="191" s="4" customFormat="1" ht="12.75"/>
    <row r="192" s="4" customFormat="1" ht="12.75"/>
    <row r="193" s="4" customFormat="1" ht="12.75"/>
    <row r="194" s="4" customFormat="1" ht="12.75"/>
    <row r="195" s="4" customFormat="1" ht="12.75"/>
    <row r="196" s="4" customFormat="1" ht="12.75"/>
    <row r="197" s="4" customFormat="1" ht="12.75"/>
    <row r="198" s="4" customFormat="1" ht="12.75"/>
    <row r="199" s="4" customFormat="1" ht="12.75"/>
    <row r="200" s="4" customFormat="1" ht="12.75"/>
    <row r="201" s="4" customFormat="1" ht="12.75"/>
    <row r="202" s="4" customFormat="1" ht="12.75"/>
    <row r="203" s="4" customFormat="1" ht="12.75"/>
    <row r="204" s="4" customFormat="1" ht="12.75"/>
    <row r="205" s="4" customFormat="1" ht="12.75"/>
    <row r="206" s="4" customFormat="1" ht="12.75"/>
    <row r="207" s="4" customFormat="1" ht="12.75"/>
    <row r="208" s="4" customFormat="1" ht="12.75"/>
    <row r="209" s="4" customFormat="1" ht="12.75"/>
    <row r="210" s="4" customFormat="1" ht="12.75"/>
    <row r="211" s="4" customFormat="1" ht="12.75"/>
    <row r="212" s="4" customFormat="1" ht="12.75"/>
    <row r="213" s="4" customFormat="1" ht="12.75"/>
    <row r="214" s="4" customFormat="1" ht="12.75"/>
    <row r="215" s="4" customFormat="1" ht="12.75"/>
    <row r="216" s="4" customFormat="1" ht="12.75"/>
    <row r="217" s="4" customFormat="1" ht="12.75"/>
    <row r="218" s="4" customFormat="1" ht="12.75"/>
    <row r="219" s="4" customFormat="1" ht="12.75"/>
    <row r="220" s="4" customFormat="1" ht="12.75"/>
    <row r="221" s="4" customFormat="1" ht="12.75"/>
    <row r="222" s="4" customFormat="1" ht="12.75"/>
    <row r="223" s="4" customFormat="1" ht="12.75"/>
    <row r="224" s="4" customFormat="1" ht="12.75"/>
    <row r="225" s="4" customFormat="1" ht="12.75"/>
    <row r="226" s="4" customFormat="1" ht="12.75"/>
    <row r="227" s="4" customFormat="1" ht="12.75"/>
    <row r="228" s="4" customFormat="1" ht="12.75"/>
    <row r="229" s="4" customFormat="1" ht="12.75"/>
    <row r="230" s="4" customFormat="1" ht="12.75"/>
    <row r="231" s="4" customFormat="1" ht="12.75"/>
    <row r="232" s="4" customFormat="1" ht="12.75"/>
    <row r="233" s="4" customFormat="1" ht="12.75"/>
    <row r="234" s="4" customFormat="1" ht="12.75"/>
    <row r="235" s="4" customFormat="1" ht="12.75"/>
    <row r="236" s="4" customFormat="1" ht="12.75"/>
    <row r="237" s="4" customFormat="1" ht="12.75"/>
    <row r="238" s="4" customFormat="1" ht="12.75"/>
    <row r="239" s="4" customFormat="1" ht="12.75"/>
  </sheetData>
  <mergeCells count="2">
    <mergeCell ref="A1:F1"/>
    <mergeCell ref="A2:F2"/>
  </mergeCells>
  <printOptions horizontalCentered="1"/>
  <pageMargins left="0.3937007874015748" right="0.3937007874015748" top="0.7874015748031497" bottom="0.3937007874015748" header="0.5118110236220472" footer="0.5118110236220472"/>
  <pageSetup fitToHeight="1" fitToWidth="1" horizontalDpi="600" verticalDpi="600" orientation="portrait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9"/>
  <sheetViews>
    <sheetView zoomScale="60" zoomScaleNormal="60" workbookViewId="0" topLeftCell="A1">
      <pane xSplit="1" ySplit="4" topLeftCell="B4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80" sqref="E80"/>
    </sheetView>
  </sheetViews>
  <sheetFormatPr defaultColWidth="9.00390625" defaultRowHeight="12.75"/>
  <cols>
    <col min="1" max="1" width="51.00390625" style="0" customWidth="1"/>
    <col min="2" max="6" width="25.25390625" style="0" customWidth="1"/>
  </cols>
  <sheetData>
    <row r="1" spans="1:6" s="54" customFormat="1" ht="47.25" customHeight="1">
      <c r="A1" s="53" t="s">
        <v>45</v>
      </c>
      <c r="B1" s="53"/>
      <c r="C1" s="53"/>
      <c r="D1" s="53"/>
      <c r="E1" s="53"/>
      <c r="F1" s="53"/>
    </row>
    <row r="2" spans="1:6" s="57" customFormat="1" ht="23.25">
      <c r="A2" s="55" t="s">
        <v>56</v>
      </c>
      <c r="B2" s="55"/>
      <c r="C2" s="55"/>
      <c r="D2" s="56"/>
      <c r="E2" s="56"/>
      <c r="F2" s="56"/>
    </row>
    <row r="3" s="58" customFormat="1" ht="18.75" thickBot="1">
      <c r="F3" s="59" t="s">
        <v>46</v>
      </c>
    </row>
    <row r="4" spans="1:6" s="2" customFormat="1" ht="29.25" customHeight="1" thickBot="1">
      <c r="A4" s="61" t="s">
        <v>29</v>
      </c>
      <c r="B4" s="62"/>
      <c r="C4" s="63" t="s">
        <v>0</v>
      </c>
      <c r="D4" s="63" t="s">
        <v>1</v>
      </c>
      <c r="E4" s="63" t="s">
        <v>2</v>
      </c>
      <c r="F4" s="64" t="s">
        <v>3</v>
      </c>
    </row>
    <row r="5" spans="1:6" s="3" customFormat="1" ht="57" customHeight="1">
      <c r="A5" s="65" t="s">
        <v>7</v>
      </c>
      <c r="B5" s="66">
        <f aca="true" t="shared" si="0" ref="B5:B69">C5+D5+E5+F5</f>
        <v>76738.16900000001</v>
      </c>
      <c r="C5" s="67">
        <f>C6+C7</f>
        <v>33786.976</v>
      </c>
      <c r="D5" s="67">
        <f>D6+D7</f>
        <v>1089.223</v>
      </c>
      <c r="E5" s="67">
        <f>E6+E7</f>
        <v>17235.446</v>
      </c>
      <c r="F5" s="68">
        <f>F6+F7</f>
        <v>24626.524</v>
      </c>
    </row>
    <row r="6" spans="1:6" s="3" customFormat="1" ht="27" customHeight="1">
      <c r="A6" s="34" t="s">
        <v>25</v>
      </c>
      <c r="B6" s="32">
        <f t="shared" si="0"/>
        <v>61780.248999999996</v>
      </c>
      <c r="C6" s="8">
        <f>33786.976-C7</f>
        <v>33543.655</v>
      </c>
      <c r="D6" s="8">
        <f>1089.223-D7</f>
        <v>1087.483</v>
      </c>
      <c r="E6" s="8">
        <f>17235.446-E7</f>
        <v>16623.856</v>
      </c>
      <c r="F6" s="9">
        <f>24626.524-F7</f>
        <v>10525.255000000001</v>
      </c>
    </row>
    <row r="7" spans="1:6" s="3" customFormat="1" ht="20.25" customHeight="1">
      <c r="A7" s="34" t="s">
        <v>22</v>
      </c>
      <c r="B7" s="32">
        <f t="shared" si="0"/>
        <v>14957.92</v>
      </c>
      <c r="C7" s="8">
        <f>C8+C9</f>
        <v>243.32100000000003</v>
      </c>
      <c r="D7" s="15">
        <f>D8+D9</f>
        <v>1.74</v>
      </c>
      <c r="E7" s="15">
        <f>E8+E9</f>
        <v>611.59</v>
      </c>
      <c r="F7" s="16">
        <f>F8+F9</f>
        <v>14101.269</v>
      </c>
    </row>
    <row r="8" spans="1:6" s="3" customFormat="1" ht="21.75" customHeight="1">
      <c r="A8" s="34" t="s">
        <v>23</v>
      </c>
      <c r="B8" s="32">
        <f t="shared" si="0"/>
        <v>4203.415</v>
      </c>
      <c r="C8" s="11">
        <f>44.392+8.255</f>
        <v>52.647000000000006</v>
      </c>
      <c r="D8" s="11"/>
      <c r="E8" s="11">
        <v>94.48</v>
      </c>
      <c r="F8" s="12">
        <f>4042.955+13.333</f>
        <v>4056.288</v>
      </c>
    </row>
    <row r="9" spans="1:6" s="3" customFormat="1" ht="24.75" customHeight="1">
      <c r="A9" s="34" t="s">
        <v>24</v>
      </c>
      <c r="B9" s="32">
        <f t="shared" si="0"/>
        <v>10754.505</v>
      </c>
      <c r="C9" s="11">
        <v>190.674</v>
      </c>
      <c r="D9" s="11">
        <v>1.74</v>
      </c>
      <c r="E9" s="11">
        <v>517.11</v>
      </c>
      <c r="F9" s="12">
        <f>15057.92-C7-D7-E7-F8-100</f>
        <v>10044.981</v>
      </c>
    </row>
    <row r="10" spans="1:6" s="3" customFormat="1" ht="47.25" customHeight="1">
      <c r="A10" s="69" t="s">
        <v>15</v>
      </c>
      <c r="B10" s="32">
        <f t="shared" si="0"/>
        <v>5397.109</v>
      </c>
      <c r="C10" s="15">
        <f>C11+C12</f>
        <v>855.609</v>
      </c>
      <c r="D10" s="15"/>
      <c r="E10" s="15">
        <f>E11+E12</f>
        <v>2004.519</v>
      </c>
      <c r="F10" s="16">
        <f>F11+F12</f>
        <v>2536.981</v>
      </c>
    </row>
    <row r="11" spans="1:6" s="3" customFormat="1" ht="21.75" customHeight="1">
      <c r="A11" s="34" t="s">
        <v>25</v>
      </c>
      <c r="B11" s="32">
        <f t="shared" si="0"/>
        <v>3649.4530000000004</v>
      </c>
      <c r="C11" s="8">
        <f>855.609-C12</f>
        <v>812.109</v>
      </c>
      <c r="D11" s="8"/>
      <c r="E11" s="8">
        <f>2004.519-E12</f>
        <v>1664.78</v>
      </c>
      <c r="F11" s="9">
        <f>2536.981-F12</f>
        <v>1172.5640000000003</v>
      </c>
    </row>
    <row r="12" spans="1:6" s="3" customFormat="1" ht="19.5" customHeight="1">
      <c r="A12" s="34" t="s">
        <v>22</v>
      </c>
      <c r="B12" s="32">
        <f t="shared" si="0"/>
        <v>1747.656</v>
      </c>
      <c r="C12" s="15">
        <f>C13+C14</f>
        <v>43.5</v>
      </c>
      <c r="D12" s="8"/>
      <c r="E12" s="15">
        <f>E13+E14</f>
        <v>339.739</v>
      </c>
      <c r="F12" s="16">
        <f>F13+F14</f>
        <v>1364.417</v>
      </c>
    </row>
    <row r="13" spans="1:6" s="3" customFormat="1" ht="17.25" customHeight="1">
      <c r="A13" s="34" t="s">
        <v>23</v>
      </c>
      <c r="B13" s="32">
        <f t="shared" si="0"/>
        <v>1015.687</v>
      </c>
      <c r="C13" s="11"/>
      <c r="D13" s="11"/>
      <c r="E13" s="11">
        <v>43.5</v>
      </c>
      <c r="F13" s="12">
        <v>972.187</v>
      </c>
    </row>
    <row r="14" spans="1:6" s="3" customFormat="1" ht="17.25" customHeight="1">
      <c r="A14" s="34" t="s">
        <v>24</v>
      </c>
      <c r="B14" s="32">
        <f t="shared" si="0"/>
        <v>731.969</v>
      </c>
      <c r="C14" s="11">
        <v>43.5</v>
      </c>
      <c r="D14" s="11"/>
      <c r="E14" s="11">
        <v>296.239</v>
      </c>
      <c r="F14" s="12">
        <v>392.23</v>
      </c>
    </row>
    <row r="15" spans="1:6" s="3" customFormat="1" ht="35.25" customHeight="1">
      <c r="A15" s="69" t="s">
        <v>6</v>
      </c>
      <c r="B15" s="32">
        <f t="shared" si="0"/>
        <v>1119.063</v>
      </c>
      <c r="C15" s="15">
        <f>C16+C17</f>
        <v>1119.063</v>
      </c>
      <c r="D15" s="8"/>
      <c r="E15" s="8"/>
      <c r="F15" s="9"/>
    </row>
    <row r="16" spans="1:6" s="3" customFormat="1" ht="19.5" customHeight="1">
      <c r="A16" s="34" t="s">
        <v>25</v>
      </c>
      <c r="B16" s="32">
        <f t="shared" si="0"/>
        <v>1119.063</v>
      </c>
      <c r="C16" s="8">
        <v>1119.063</v>
      </c>
      <c r="D16" s="8"/>
      <c r="E16" s="15"/>
      <c r="F16" s="16"/>
    </row>
    <row r="17" spans="1:6" s="3" customFormat="1" ht="18" customHeight="1">
      <c r="A17" s="34" t="s">
        <v>22</v>
      </c>
      <c r="B17" s="32">
        <f t="shared" si="0"/>
        <v>0</v>
      </c>
      <c r="C17" s="8"/>
      <c r="D17" s="8"/>
      <c r="E17" s="15">
        <f>E18+E19</f>
        <v>0</v>
      </c>
      <c r="F17" s="16">
        <f>F18+F19</f>
        <v>0</v>
      </c>
    </row>
    <row r="18" spans="1:6" s="3" customFormat="1" ht="19.5" customHeight="1">
      <c r="A18" s="34" t="s">
        <v>23</v>
      </c>
      <c r="B18" s="32">
        <f t="shared" si="0"/>
        <v>0</v>
      </c>
      <c r="C18" s="11"/>
      <c r="D18" s="11"/>
      <c r="E18" s="11"/>
      <c r="F18" s="12"/>
    </row>
    <row r="19" spans="1:6" s="3" customFormat="1" ht="19.5" customHeight="1">
      <c r="A19" s="34" t="s">
        <v>24</v>
      </c>
      <c r="B19" s="32">
        <f t="shared" si="0"/>
        <v>0</v>
      </c>
      <c r="C19" s="11"/>
      <c r="D19" s="11"/>
      <c r="E19" s="11"/>
      <c r="F19" s="12"/>
    </row>
    <row r="20" spans="1:6" s="3" customFormat="1" ht="51" customHeight="1">
      <c r="A20" s="69" t="s">
        <v>8</v>
      </c>
      <c r="B20" s="32">
        <f t="shared" si="0"/>
        <v>749.9389999999999</v>
      </c>
      <c r="C20" s="15">
        <f>C21+C22</f>
        <v>41.69</v>
      </c>
      <c r="D20" s="15">
        <f>D21+D22</f>
        <v>604.699</v>
      </c>
      <c r="E20" s="15">
        <f>E21+E22</f>
        <v>22.457</v>
      </c>
      <c r="F20" s="16">
        <f>F21+F22</f>
        <v>81.093</v>
      </c>
    </row>
    <row r="21" spans="1:6" s="3" customFormat="1" ht="21.75" customHeight="1">
      <c r="A21" s="34" t="s">
        <v>25</v>
      </c>
      <c r="B21" s="32">
        <f t="shared" si="0"/>
        <v>730.2189999999999</v>
      </c>
      <c r="C21" s="8">
        <v>41.69</v>
      </c>
      <c r="D21" s="8">
        <v>604.699</v>
      </c>
      <c r="E21" s="8">
        <v>22.457</v>
      </c>
      <c r="F21" s="9">
        <f>81.093-F22</f>
        <v>61.373000000000005</v>
      </c>
    </row>
    <row r="22" spans="1:6" s="3" customFormat="1" ht="21" customHeight="1">
      <c r="A22" s="34" t="s">
        <v>22</v>
      </c>
      <c r="B22" s="32">
        <f t="shared" si="0"/>
        <v>19.72</v>
      </c>
      <c r="C22" s="8"/>
      <c r="D22" s="8"/>
      <c r="E22" s="15">
        <f>E23+E24</f>
        <v>0</v>
      </c>
      <c r="F22" s="16">
        <f>F23+F24</f>
        <v>19.72</v>
      </c>
    </row>
    <row r="23" spans="1:6" s="3" customFormat="1" ht="21.75" customHeight="1">
      <c r="A23" s="34" t="s">
        <v>23</v>
      </c>
      <c r="B23" s="32">
        <f t="shared" si="0"/>
        <v>19.72</v>
      </c>
      <c r="C23" s="11"/>
      <c r="D23" s="11"/>
      <c r="E23" s="11"/>
      <c r="F23" s="12">
        <v>19.72</v>
      </c>
    </row>
    <row r="24" spans="1:6" s="3" customFormat="1" ht="21" customHeight="1">
      <c r="A24" s="34" t="s">
        <v>24</v>
      </c>
      <c r="B24" s="32">
        <f t="shared" si="0"/>
        <v>0</v>
      </c>
      <c r="C24" s="11"/>
      <c r="D24" s="11"/>
      <c r="E24" s="11"/>
      <c r="F24" s="12"/>
    </row>
    <row r="25" spans="1:6" s="3" customFormat="1" ht="41.25" customHeight="1">
      <c r="A25" s="69" t="s">
        <v>9</v>
      </c>
      <c r="B25" s="32">
        <f t="shared" si="0"/>
        <v>8925.199999999999</v>
      </c>
      <c r="C25" s="15">
        <f>C26+C27</f>
        <v>3939.587</v>
      </c>
      <c r="D25" s="15"/>
      <c r="E25" s="15">
        <f>E26+E27</f>
        <v>1256.125</v>
      </c>
      <c r="F25" s="16">
        <f>F26+F27</f>
        <v>3729.488</v>
      </c>
    </row>
    <row r="26" spans="1:6" s="3" customFormat="1" ht="19.5" customHeight="1">
      <c r="A26" s="34" t="s">
        <v>25</v>
      </c>
      <c r="B26" s="32">
        <f t="shared" si="0"/>
        <v>6647.074999999999</v>
      </c>
      <c r="C26" s="8">
        <v>3939.587</v>
      </c>
      <c r="D26" s="8"/>
      <c r="E26" s="15">
        <v>1256.125</v>
      </c>
      <c r="F26" s="16">
        <f>3729.488-F27</f>
        <v>1451.3629999999998</v>
      </c>
    </row>
    <row r="27" spans="1:6" s="3" customFormat="1" ht="24.75" customHeight="1">
      <c r="A27" s="34" t="s">
        <v>22</v>
      </c>
      <c r="B27" s="32">
        <f t="shared" si="0"/>
        <v>2278.125</v>
      </c>
      <c r="C27" s="8"/>
      <c r="D27" s="8"/>
      <c r="E27" s="15">
        <f>E28+E29</f>
        <v>0</v>
      </c>
      <c r="F27" s="16">
        <f>F28+F29</f>
        <v>2278.125</v>
      </c>
    </row>
    <row r="28" spans="1:6" s="3" customFormat="1" ht="25.5" customHeight="1">
      <c r="A28" s="34" t="s">
        <v>23</v>
      </c>
      <c r="B28" s="32">
        <f t="shared" si="0"/>
        <v>2253.125</v>
      </c>
      <c r="C28" s="11"/>
      <c r="D28" s="11"/>
      <c r="E28" s="11"/>
      <c r="F28" s="12">
        <f>2278.125-F29</f>
        <v>2253.125</v>
      </c>
    </row>
    <row r="29" spans="1:6" s="3" customFormat="1" ht="20.25" customHeight="1">
      <c r="A29" s="34" t="s">
        <v>24</v>
      </c>
      <c r="B29" s="32">
        <f t="shared" si="0"/>
        <v>25</v>
      </c>
      <c r="C29" s="11"/>
      <c r="D29" s="11"/>
      <c r="E29" s="11"/>
      <c r="F29" s="12">
        <v>25</v>
      </c>
    </row>
    <row r="30" spans="1:6" s="3" customFormat="1" ht="50.25" customHeight="1">
      <c r="A30" s="69" t="s">
        <v>10</v>
      </c>
      <c r="B30" s="32">
        <f t="shared" si="0"/>
        <v>81.539</v>
      </c>
      <c r="C30" s="15"/>
      <c r="D30" s="15"/>
      <c r="E30" s="15">
        <f>E31+E32</f>
        <v>51.598</v>
      </c>
      <c r="F30" s="16">
        <f>F31+F32</f>
        <v>29.941</v>
      </c>
    </row>
    <row r="31" spans="1:6" s="3" customFormat="1" ht="22.5" customHeight="1">
      <c r="A31" s="34" t="s">
        <v>25</v>
      </c>
      <c r="B31" s="32">
        <f t="shared" si="0"/>
        <v>59.641999999999996</v>
      </c>
      <c r="C31" s="8"/>
      <c r="D31" s="8"/>
      <c r="E31" s="15">
        <v>51.598</v>
      </c>
      <c r="F31" s="16">
        <f>29.941-F32</f>
        <v>8.044</v>
      </c>
    </row>
    <row r="32" spans="1:6" s="3" customFormat="1" ht="24.75" customHeight="1">
      <c r="A32" s="34" t="s">
        <v>22</v>
      </c>
      <c r="B32" s="32">
        <f t="shared" si="0"/>
        <v>21.897</v>
      </c>
      <c r="C32" s="8"/>
      <c r="D32" s="8"/>
      <c r="E32" s="15">
        <f>E33+E34</f>
        <v>0</v>
      </c>
      <c r="F32" s="16">
        <f>F33+F34</f>
        <v>21.897</v>
      </c>
    </row>
    <row r="33" spans="1:6" s="3" customFormat="1" ht="18" customHeight="1">
      <c r="A33" s="34" t="s">
        <v>23</v>
      </c>
      <c r="B33" s="32">
        <f t="shared" si="0"/>
        <v>18.232</v>
      </c>
      <c r="C33" s="11"/>
      <c r="D33" s="11"/>
      <c r="E33" s="11"/>
      <c r="F33" s="12">
        <v>18.232</v>
      </c>
    </row>
    <row r="34" spans="1:6" s="3" customFormat="1" ht="18" customHeight="1">
      <c r="A34" s="34" t="s">
        <v>24</v>
      </c>
      <c r="B34" s="32">
        <f t="shared" si="0"/>
        <v>3.665</v>
      </c>
      <c r="C34" s="11"/>
      <c r="D34" s="11"/>
      <c r="E34" s="11"/>
      <c r="F34" s="12">
        <v>3.665</v>
      </c>
    </row>
    <row r="35" spans="1:6" s="3" customFormat="1" ht="25.5" customHeight="1">
      <c r="A35" s="69" t="s">
        <v>40</v>
      </c>
      <c r="B35" s="32">
        <f t="shared" si="0"/>
        <v>0</v>
      </c>
      <c r="C35" s="21"/>
      <c r="D35" s="21"/>
      <c r="E35" s="15">
        <f>E36+E37</f>
        <v>0</v>
      </c>
      <c r="F35" s="16">
        <f>F36+F37</f>
        <v>0</v>
      </c>
    </row>
    <row r="36" spans="1:6" s="3" customFormat="1" ht="23.25" customHeight="1">
      <c r="A36" s="34" t="s">
        <v>25</v>
      </c>
      <c r="B36" s="32">
        <f t="shared" si="0"/>
        <v>0</v>
      </c>
      <c r="C36" s="8"/>
      <c r="D36" s="8"/>
      <c r="E36" s="8"/>
      <c r="F36" s="9"/>
    </row>
    <row r="37" spans="1:6" s="3" customFormat="1" ht="23.25" customHeight="1">
      <c r="A37" s="34" t="s">
        <v>22</v>
      </c>
      <c r="B37" s="32">
        <f t="shared" si="0"/>
        <v>0</v>
      </c>
      <c r="C37" s="8"/>
      <c r="D37" s="8"/>
      <c r="E37" s="15">
        <f>E38+E39</f>
        <v>0</v>
      </c>
      <c r="F37" s="16">
        <f>F38+F39</f>
        <v>0</v>
      </c>
    </row>
    <row r="38" spans="1:6" s="3" customFormat="1" ht="23.25" customHeight="1">
      <c r="A38" s="34" t="s">
        <v>23</v>
      </c>
      <c r="B38" s="32">
        <f t="shared" si="0"/>
        <v>0</v>
      </c>
      <c r="C38" s="21"/>
      <c r="D38" s="21"/>
      <c r="E38" s="21"/>
      <c r="F38" s="25"/>
    </row>
    <row r="39" spans="1:6" s="3" customFormat="1" ht="23.25" customHeight="1">
      <c r="A39" s="34" t="s">
        <v>24</v>
      </c>
      <c r="B39" s="32">
        <f t="shared" si="0"/>
        <v>0</v>
      </c>
      <c r="C39" s="21"/>
      <c r="D39" s="21"/>
      <c r="E39" s="21"/>
      <c r="F39" s="25"/>
    </row>
    <row r="40" spans="1:6" s="3" customFormat="1" ht="42" customHeight="1">
      <c r="A40" s="69" t="s">
        <v>41</v>
      </c>
      <c r="B40" s="32">
        <f t="shared" si="0"/>
        <v>0</v>
      </c>
      <c r="C40" s="21"/>
      <c r="D40" s="21"/>
      <c r="E40" s="15">
        <f>E41+E42</f>
        <v>0</v>
      </c>
      <c r="F40" s="16">
        <f>F41+F42</f>
        <v>0</v>
      </c>
    </row>
    <row r="41" spans="1:6" s="3" customFormat="1" ht="19.5" customHeight="1">
      <c r="A41" s="34" t="s">
        <v>25</v>
      </c>
      <c r="B41" s="32">
        <f t="shared" si="0"/>
        <v>0</v>
      </c>
      <c r="C41" s="8"/>
      <c r="D41" s="8"/>
      <c r="E41" s="8"/>
      <c r="F41" s="9"/>
    </row>
    <row r="42" spans="1:6" s="3" customFormat="1" ht="19.5" customHeight="1">
      <c r="A42" s="34" t="s">
        <v>22</v>
      </c>
      <c r="B42" s="32">
        <f t="shared" si="0"/>
        <v>0</v>
      </c>
      <c r="C42" s="8"/>
      <c r="D42" s="8"/>
      <c r="E42" s="15">
        <f>E43+E44</f>
        <v>0</v>
      </c>
      <c r="F42" s="16">
        <f>F43+F44</f>
        <v>0</v>
      </c>
    </row>
    <row r="43" spans="1:6" s="3" customFormat="1" ht="19.5" customHeight="1">
      <c r="A43" s="34" t="s">
        <v>23</v>
      </c>
      <c r="B43" s="32">
        <f t="shared" si="0"/>
        <v>0</v>
      </c>
      <c r="C43" s="21"/>
      <c r="D43" s="21"/>
      <c r="E43" s="21"/>
      <c r="F43" s="25"/>
    </row>
    <row r="44" spans="1:6" s="3" customFormat="1" ht="19.5" customHeight="1">
      <c r="A44" s="34" t="s">
        <v>24</v>
      </c>
      <c r="B44" s="32">
        <f t="shared" si="0"/>
        <v>0</v>
      </c>
      <c r="C44" s="21"/>
      <c r="D44" s="21"/>
      <c r="E44" s="21"/>
      <c r="F44" s="25"/>
    </row>
    <row r="45" spans="1:6" s="3" customFormat="1" ht="24.75" customHeight="1">
      <c r="A45" s="69" t="s">
        <v>11</v>
      </c>
      <c r="B45" s="32">
        <f t="shared" si="0"/>
        <v>2401.692</v>
      </c>
      <c r="C45" s="15">
        <f>C46+C47</f>
        <v>0</v>
      </c>
      <c r="D45" s="8"/>
      <c r="E45" s="15">
        <f>E46+E47</f>
        <v>1818.87</v>
      </c>
      <c r="F45" s="16">
        <f>F46+F47</f>
        <v>582.822</v>
      </c>
    </row>
    <row r="46" spans="1:6" s="3" customFormat="1" ht="24.75" customHeight="1">
      <c r="A46" s="34" t="s">
        <v>25</v>
      </c>
      <c r="B46" s="32">
        <f t="shared" si="0"/>
        <v>1946.612</v>
      </c>
      <c r="C46" s="8"/>
      <c r="D46" s="8"/>
      <c r="E46" s="15">
        <f>1818.87-E47</f>
        <v>1809.174</v>
      </c>
      <c r="F46" s="16">
        <f>582.822-F47</f>
        <v>137.438</v>
      </c>
    </row>
    <row r="47" spans="1:6" s="3" customFormat="1" ht="24.75" customHeight="1">
      <c r="A47" s="34" t="s">
        <v>22</v>
      </c>
      <c r="B47" s="32">
        <f t="shared" si="0"/>
        <v>455.08000000000004</v>
      </c>
      <c r="C47" s="8"/>
      <c r="D47" s="8"/>
      <c r="E47" s="15">
        <f>E48+E49</f>
        <v>9.696</v>
      </c>
      <c r="F47" s="16">
        <f>F48+F49</f>
        <v>445.384</v>
      </c>
    </row>
    <row r="48" spans="1:6" s="3" customFormat="1" ht="24.75" customHeight="1">
      <c r="A48" s="34" t="s">
        <v>23</v>
      </c>
      <c r="B48" s="32">
        <f t="shared" si="0"/>
        <v>349.023</v>
      </c>
      <c r="C48" s="8"/>
      <c r="D48" s="8"/>
      <c r="E48" s="11">
        <v>8.506</v>
      </c>
      <c r="F48" s="12">
        <v>340.517</v>
      </c>
    </row>
    <row r="49" spans="1:6" s="3" customFormat="1" ht="24.75" customHeight="1">
      <c r="A49" s="34" t="s">
        <v>24</v>
      </c>
      <c r="B49" s="32">
        <f t="shared" si="0"/>
        <v>106.057</v>
      </c>
      <c r="C49" s="8"/>
      <c r="D49" s="8"/>
      <c r="E49" s="11">
        <v>1.19</v>
      </c>
      <c r="F49" s="12">
        <v>104.867</v>
      </c>
    </row>
    <row r="50" spans="1:6" s="3" customFormat="1" ht="24.75" customHeight="1">
      <c r="A50" s="69" t="s">
        <v>5</v>
      </c>
      <c r="B50" s="32">
        <f t="shared" si="0"/>
        <v>1821.6039999999998</v>
      </c>
      <c r="C50" s="15">
        <f>C51+C52</f>
        <v>317.954</v>
      </c>
      <c r="D50" s="8"/>
      <c r="E50" s="15">
        <f>E51+E52</f>
        <v>745.393</v>
      </c>
      <c r="F50" s="16">
        <f>F51+F52</f>
        <v>758.257</v>
      </c>
    </row>
    <row r="51" spans="1:6" s="3" customFormat="1" ht="24.75" customHeight="1">
      <c r="A51" s="34" t="s">
        <v>25</v>
      </c>
      <c r="B51" s="32">
        <f t="shared" si="0"/>
        <v>994.162</v>
      </c>
      <c r="C51" s="15">
        <v>317.954</v>
      </c>
      <c r="D51" s="8"/>
      <c r="E51" s="15">
        <f>745.393-E52</f>
        <v>324.87600000000003</v>
      </c>
      <c r="F51" s="16">
        <f>758.257-F52</f>
        <v>351.33199999999994</v>
      </c>
    </row>
    <row r="52" spans="1:6" s="3" customFormat="1" ht="24.75" customHeight="1">
      <c r="A52" s="34" t="s">
        <v>22</v>
      </c>
      <c r="B52" s="32">
        <f t="shared" si="0"/>
        <v>827.442</v>
      </c>
      <c r="C52" s="8"/>
      <c r="D52" s="8"/>
      <c r="E52" s="15">
        <f>E53+E54</f>
        <v>420.517</v>
      </c>
      <c r="F52" s="16">
        <f>F53+F54</f>
        <v>406.925</v>
      </c>
    </row>
    <row r="53" spans="1:6" s="3" customFormat="1" ht="24.75" customHeight="1">
      <c r="A53" s="34" t="s">
        <v>23</v>
      </c>
      <c r="B53" s="32">
        <f t="shared" si="0"/>
        <v>827.442</v>
      </c>
      <c r="C53" s="11"/>
      <c r="D53" s="11"/>
      <c r="E53" s="11">
        <v>420.517</v>
      </c>
      <c r="F53" s="12">
        <v>406.925</v>
      </c>
    </row>
    <row r="54" spans="1:6" s="3" customFormat="1" ht="24.75" customHeight="1">
      <c r="A54" s="34" t="s">
        <v>24</v>
      </c>
      <c r="B54" s="32">
        <f t="shared" si="0"/>
        <v>0</v>
      </c>
      <c r="C54" s="11"/>
      <c r="D54" s="11"/>
      <c r="E54" s="11"/>
      <c r="F54" s="12"/>
    </row>
    <row r="55" spans="1:6" s="3" customFormat="1" ht="50.25" customHeight="1">
      <c r="A55" s="69" t="s">
        <v>12</v>
      </c>
      <c r="B55" s="32">
        <f t="shared" si="0"/>
        <v>5491.584000000001</v>
      </c>
      <c r="C55" s="15"/>
      <c r="D55" s="8"/>
      <c r="E55" s="15">
        <f>E56+E57</f>
        <v>1376.413</v>
      </c>
      <c r="F55" s="16">
        <f>F56+F57</f>
        <v>4115.171</v>
      </c>
    </row>
    <row r="56" spans="1:6" s="3" customFormat="1" ht="26.25" customHeight="1">
      <c r="A56" s="34" t="s">
        <v>25</v>
      </c>
      <c r="B56" s="32">
        <f t="shared" si="0"/>
        <v>2818.825</v>
      </c>
      <c r="C56" s="8"/>
      <c r="D56" s="8"/>
      <c r="E56" s="15">
        <f>1376.413-E57</f>
        <v>1323.271</v>
      </c>
      <c r="F56" s="16">
        <f>4115.171-F57</f>
        <v>1495.554</v>
      </c>
    </row>
    <row r="57" spans="1:6" s="3" customFormat="1" ht="26.25" customHeight="1">
      <c r="A57" s="34" t="s">
        <v>22</v>
      </c>
      <c r="B57" s="32">
        <f t="shared" si="0"/>
        <v>2672.759</v>
      </c>
      <c r="C57" s="8"/>
      <c r="D57" s="8"/>
      <c r="E57" s="15">
        <f>E58+E59</f>
        <v>53.141999999999996</v>
      </c>
      <c r="F57" s="16">
        <f>F58+F59</f>
        <v>2619.617</v>
      </c>
    </row>
    <row r="58" spans="1:6" s="3" customFormat="1" ht="26.25" customHeight="1">
      <c r="A58" s="34" t="s">
        <v>23</v>
      </c>
      <c r="B58" s="32">
        <f t="shared" si="0"/>
        <v>670.0300000000001</v>
      </c>
      <c r="C58" s="10"/>
      <c r="D58" s="8"/>
      <c r="E58" s="11">
        <v>33.902</v>
      </c>
      <c r="F58" s="12">
        <v>636.128</v>
      </c>
    </row>
    <row r="59" spans="1:6" s="3" customFormat="1" ht="26.25" customHeight="1">
      <c r="A59" s="34" t="s">
        <v>24</v>
      </c>
      <c r="B59" s="32">
        <f t="shared" si="0"/>
        <v>2002.729</v>
      </c>
      <c r="C59" s="10"/>
      <c r="D59" s="8"/>
      <c r="E59" s="11">
        <v>19.24</v>
      </c>
      <c r="F59" s="12">
        <v>1983.489</v>
      </c>
    </row>
    <row r="60" spans="1:6" s="3" customFormat="1" ht="24.75" customHeight="1">
      <c r="A60" s="70" t="s">
        <v>13</v>
      </c>
      <c r="B60" s="32">
        <f t="shared" si="0"/>
        <v>132.411</v>
      </c>
      <c r="C60" s="10"/>
      <c r="D60" s="8"/>
      <c r="E60" s="8">
        <f>E61+E62</f>
        <v>70.758</v>
      </c>
      <c r="F60" s="9">
        <f>F61+F62</f>
        <v>61.653</v>
      </c>
    </row>
    <row r="61" spans="1:6" s="3" customFormat="1" ht="21.75" customHeight="1">
      <c r="A61" s="34" t="s">
        <v>25</v>
      </c>
      <c r="B61" s="32">
        <f t="shared" si="0"/>
        <v>132.411</v>
      </c>
      <c r="C61" s="8"/>
      <c r="D61" s="8"/>
      <c r="E61" s="15">
        <v>70.758</v>
      </c>
      <c r="F61" s="16">
        <v>61.653</v>
      </c>
    </row>
    <row r="62" spans="1:6" s="3" customFormat="1" ht="16.5" customHeight="1">
      <c r="A62" s="34" t="s">
        <v>22</v>
      </c>
      <c r="B62" s="32">
        <f t="shared" si="0"/>
        <v>0</v>
      </c>
      <c r="C62" s="8"/>
      <c r="D62" s="8"/>
      <c r="E62" s="15">
        <f>E63+E64</f>
        <v>0</v>
      </c>
      <c r="F62" s="16">
        <f>F63+F64</f>
        <v>0</v>
      </c>
    </row>
    <row r="63" spans="1:6" s="3" customFormat="1" ht="18" customHeight="1">
      <c r="A63" s="34" t="s">
        <v>23</v>
      </c>
      <c r="B63" s="32">
        <f t="shared" si="0"/>
        <v>0</v>
      </c>
      <c r="C63" s="10"/>
      <c r="D63" s="8"/>
      <c r="E63" s="10"/>
      <c r="F63" s="17"/>
    </row>
    <row r="64" spans="1:6" s="3" customFormat="1" ht="18" customHeight="1">
      <c r="A64" s="34" t="s">
        <v>24</v>
      </c>
      <c r="B64" s="32">
        <f t="shared" si="0"/>
        <v>0</v>
      </c>
      <c r="C64" s="10"/>
      <c r="D64" s="8"/>
      <c r="E64" s="10"/>
      <c r="F64" s="17"/>
    </row>
    <row r="65" spans="1:6" s="3" customFormat="1" ht="24.75" customHeight="1">
      <c r="A65" s="70" t="s">
        <v>4</v>
      </c>
      <c r="B65" s="32">
        <f t="shared" si="0"/>
        <v>555.095</v>
      </c>
      <c r="C65" s="15">
        <f>C66+C67</f>
        <v>555.095</v>
      </c>
      <c r="D65" s="8"/>
      <c r="E65" s="8"/>
      <c r="F65" s="9"/>
    </row>
    <row r="66" spans="1:6" s="3" customFormat="1" ht="21.75" customHeight="1">
      <c r="A66" s="34" t="s">
        <v>25</v>
      </c>
      <c r="B66" s="32">
        <f t="shared" si="0"/>
        <v>555.095</v>
      </c>
      <c r="C66" s="15">
        <v>555.095</v>
      </c>
      <c r="D66" s="8"/>
      <c r="E66" s="15">
        <f>E65-E67</f>
        <v>0</v>
      </c>
      <c r="F66" s="16">
        <f>F65-F67</f>
        <v>0</v>
      </c>
    </row>
    <row r="67" spans="1:6" s="3" customFormat="1" ht="18" customHeight="1">
      <c r="A67" s="34" t="s">
        <v>22</v>
      </c>
      <c r="B67" s="32">
        <f t="shared" si="0"/>
        <v>0</v>
      </c>
      <c r="C67" s="15">
        <f>C68+C69</f>
        <v>0</v>
      </c>
      <c r="D67" s="8"/>
      <c r="E67" s="15">
        <f>E68+E69</f>
        <v>0</v>
      </c>
      <c r="F67" s="16">
        <f>F68+F69</f>
        <v>0</v>
      </c>
    </row>
    <row r="68" spans="1:6" s="3" customFormat="1" ht="19.5" customHeight="1">
      <c r="A68" s="34" t="s">
        <v>23</v>
      </c>
      <c r="B68" s="32">
        <f t="shared" si="0"/>
        <v>0</v>
      </c>
      <c r="C68" s="11"/>
      <c r="D68" s="8"/>
      <c r="E68" s="8"/>
      <c r="F68" s="9"/>
    </row>
    <row r="69" spans="1:6" s="3" customFormat="1" ht="19.5" customHeight="1" thickBot="1">
      <c r="A69" s="35" t="s">
        <v>24</v>
      </c>
      <c r="B69" s="33">
        <f t="shared" si="0"/>
        <v>0</v>
      </c>
      <c r="C69" s="14"/>
      <c r="D69" s="13"/>
      <c r="E69" s="13"/>
      <c r="F69" s="18"/>
    </row>
    <row r="70" spans="1:6" s="81" customFormat="1" ht="27.75" customHeight="1">
      <c r="A70" s="110" t="s">
        <v>34</v>
      </c>
      <c r="B70" s="72">
        <f>C70+D70+E70+F70</f>
        <v>214.345</v>
      </c>
      <c r="C70" s="43"/>
      <c r="D70" s="43"/>
      <c r="E70" s="43">
        <v>214.345</v>
      </c>
      <c r="F70" s="44"/>
    </row>
    <row r="71" spans="1:6" s="81" customFormat="1" ht="27.75" customHeight="1">
      <c r="A71" s="45" t="s">
        <v>35</v>
      </c>
      <c r="B71" s="6">
        <f aca="true" t="shared" si="1" ref="B71:B79">C71+D71+E71+F71</f>
        <v>20.9</v>
      </c>
      <c r="C71" s="24"/>
      <c r="D71" s="24"/>
      <c r="E71" s="24">
        <v>20.9</v>
      </c>
      <c r="F71" s="25"/>
    </row>
    <row r="72" spans="1:6" s="81" customFormat="1" ht="27.75" customHeight="1">
      <c r="A72" s="45" t="s">
        <v>42</v>
      </c>
      <c r="B72" s="6">
        <f t="shared" si="1"/>
        <v>395.66499999999996</v>
      </c>
      <c r="C72" s="24"/>
      <c r="D72" s="24"/>
      <c r="E72" s="24">
        <v>352.763</v>
      </c>
      <c r="F72" s="25">
        <v>42.902</v>
      </c>
    </row>
    <row r="73" spans="1:6" s="81" customFormat="1" ht="41.25" customHeight="1">
      <c r="A73" s="109" t="s">
        <v>43</v>
      </c>
      <c r="B73" s="6">
        <f t="shared" si="1"/>
        <v>1447.72</v>
      </c>
      <c r="C73" s="24">
        <v>1437.5</v>
      </c>
      <c r="D73" s="24"/>
      <c r="E73" s="24"/>
      <c r="F73" s="25">
        <v>10.22</v>
      </c>
    </row>
    <row r="74" spans="1:6" s="81" customFormat="1" ht="27.75" customHeight="1">
      <c r="A74" s="45" t="s">
        <v>36</v>
      </c>
      <c r="B74" s="6">
        <f t="shared" si="1"/>
        <v>777.1729999999999</v>
      </c>
      <c r="C74" s="24">
        <v>550.117</v>
      </c>
      <c r="D74" s="24"/>
      <c r="E74" s="24">
        <v>176.256</v>
      </c>
      <c r="F74" s="25">
        <v>50.8</v>
      </c>
    </row>
    <row r="75" spans="1:6" s="81" customFormat="1" ht="27.75" customHeight="1">
      <c r="A75" s="45" t="s">
        <v>44</v>
      </c>
      <c r="B75" s="6">
        <f t="shared" si="1"/>
        <v>32.305</v>
      </c>
      <c r="C75" s="24">
        <v>0.525</v>
      </c>
      <c r="D75" s="24"/>
      <c r="E75" s="24">
        <v>31.78</v>
      </c>
      <c r="F75" s="25"/>
    </row>
    <row r="76" spans="1:6" s="81" customFormat="1" ht="46.5" customHeight="1">
      <c r="A76" s="48" t="s">
        <v>37</v>
      </c>
      <c r="B76" s="79">
        <f t="shared" si="1"/>
        <v>0</v>
      </c>
      <c r="C76" s="46"/>
      <c r="D76" s="46"/>
      <c r="E76" s="46"/>
      <c r="F76" s="47"/>
    </row>
    <row r="77" spans="1:6" s="81" customFormat="1" ht="41.25" customHeight="1">
      <c r="A77" s="80" t="s">
        <v>38</v>
      </c>
      <c r="B77" s="79">
        <f t="shared" si="1"/>
        <v>0</v>
      </c>
      <c r="C77" s="46"/>
      <c r="D77" s="46"/>
      <c r="E77" s="46"/>
      <c r="F77" s="47"/>
    </row>
    <row r="78" spans="1:6" s="81" customFormat="1" ht="54.75" thickBot="1">
      <c r="A78" s="82" t="s">
        <v>39</v>
      </c>
      <c r="B78" s="83">
        <f t="shared" si="1"/>
        <v>0</v>
      </c>
      <c r="C78" s="84"/>
      <c r="D78" s="84"/>
      <c r="E78" s="84"/>
      <c r="F78" s="85"/>
    </row>
    <row r="79" spans="1:6" s="81" customFormat="1" ht="37.5" customHeight="1" thickBot="1">
      <c r="A79" s="38" t="s">
        <v>14</v>
      </c>
      <c r="B79" s="91">
        <f t="shared" si="1"/>
        <v>106301.513</v>
      </c>
      <c r="C79" s="92">
        <f>C5+C10+C15+C20+C25+C30+C35+C40+C45+C50+C55+C60+C65+C70+C70+C71+C72+C73+C74+C75+C76+C77+C78</f>
        <v>42604.116</v>
      </c>
      <c r="D79" s="92">
        <f>D5+D10+D15+D20+D25+D30+D35+D40+D45+D50+D55+D60+D65+D70+D70+D71+D72+D73+D74+D75+D76+D77+D78</f>
        <v>1693.922</v>
      </c>
      <c r="E79" s="92">
        <f>E5+E10+E15+E20+E25+E30+E35+E40+E45+E50+E55+E60+E65+E70+E71+E72+E73+E74+E75+E76+E77+E78</f>
        <v>25377.623000000003</v>
      </c>
      <c r="F79" s="92">
        <f>F5+F10+F15+F20+F25+F30+F35+F40+F45+F50+F55+F60+F65+F70+F70+F71+F72+F73+F74+F75+F76+F77+F78</f>
        <v>36625.852000000006</v>
      </c>
    </row>
    <row r="80" s="81" customFormat="1" ht="18"/>
    <row r="81" s="4" customFormat="1" ht="12.75"/>
    <row r="82" s="4" customFormat="1" ht="12.75"/>
    <row r="83" s="4" customFormat="1" ht="12.75"/>
    <row r="84" s="4" customFormat="1" ht="12.75"/>
    <row r="85" s="4" customFormat="1" ht="12.75"/>
    <row r="86" s="4" customFormat="1" ht="12.75"/>
    <row r="87" s="4" customFormat="1" ht="12.75"/>
    <row r="88" s="4" customFormat="1" ht="12.75"/>
    <row r="89" s="4" customFormat="1" ht="12.75"/>
    <row r="90" s="4" customFormat="1" ht="12.75"/>
    <row r="91" s="4" customFormat="1" ht="12.75"/>
    <row r="92" s="4" customFormat="1" ht="12.75"/>
    <row r="93" s="4" customFormat="1" ht="12.75"/>
    <row r="94" s="4" customFormat="1" ht="12.75"/>
    <row r="95" s="4" customFormat="1" ht="12.75"/>
    <row r="96" s="4" customFormat="1" ht="12.75"/>
    <row r="97" s="4" customFormat="1" ht="12.75"/>
    <row r="98" s="4" customFormat="1" ht="12.75"/>
    <row r="99" s="4" customFormat="1" ht="12.75"/>
    <row r="100" s="4" customFormat="1" ht="12.75"/>
    <row r="101" s="4" customFormat="1" ht="12.75"/>
    <row r="102" s="4" customFormat="1" ht="12.75"/>
    <row r="103" s="4" customFormat="1" ht="12.75"/>
    <row r="104" s="4" customFormat="1" ht="12.75"/>
    <row r="105" s="4" customFormat="1" ht="12.75"/>
    <row r="106" s="4" customFormat="1" ht="12.75"/>
    <row r="107" s="4" customFormat="1" ht="12.75"/>
    <row r="108" s="4" customFormat="1" ht="12.75"/>
    <row r="109" s="4" customFormat="1" ht="12.75"/>
    <row r="110" s="4" customFormat="1" ht="12.75"/>
    <row r="111" s="4" customFormat="1" ht="12.75"/>
    <row r="112" s="4" customFormat="1" ht="12.75"/>
    <row r="113" s="4" customFormat="1" ht="12.75"/>
    <row r="114" s="4" customFormat="1" ht="12.75"/>
    <row r="115" s="4" customFormat="1" ht="12.75"/>
    <row r="116" s="4" customFormat="1" ht="12.75"/>
    <row r="117" s="4" customFormat="1" ht="12.75"/>
    <row r="118" s="4" customFormat="1" ht="12.75"/>
    <row r="119" s="4" customFormat="1" ht="12.75"/>
    <row r="120" s="4" customFormat="1" ht="12.75"/>
    <row r="121" s="4" customFormat="1" ht="12.75"/>
    <row r="122" s="4" customFormat="1" ht="12.75"/>
    <row r="123" s="4" customFormat="1" ht="12.75"/>
    <row r="124" s="4" customFormat="1" ht="12.75"/>
    <row r="125" s="4" customFormat="1" ht="12.75"/>
    <row r="126" s="4" customFormat="1" ht="12.75"/>
    <row r="127" s="4" customFormat="1" ht="12.75"/>
    <row r="128" s="4" customFormat="1" ht="12.75"/>
    <row r="129" s="4" customFormat="1" ht="12.75"/>
    <row r="130" s="4" customFormat="1" ht="12.75"/>
    <row r="131" s="4" customFormat="1" ht="12.75"/>
    <row r="132" s="4" customFormat="1" ht="12.75"/>
    <row r="133" s="4" customFormat="1" ht="12.75"/>
    <row r="134" s="4" customFormat="1" ht="12.75"/>
    <row r="135" s="4" customFormat="1" ht="12.75"/>
    <row r="136" s="4" customFormat="1" ht="12.75"/>
    <row r="137" s="4" customFormat="1" ht="12.75"/>
    <row r="138" s="4" customFormat="1" ht="12.75"/>
    <row r="139" s="4" customFormat="1" ht="12.75"/>
    <row r="140" s="4" customFormat="1" ht="12.75"/>
    <row r="141" s="4" customFormat="1" ht="12.75"/>
    <row r="142" s="4" customFormat="1" ht="12.75"/>
    <row r="143" s="4" customFormat="1" ht="12.75"/>
    <row r="144" s="4" customFormat="1" ht="12.75"/>
    <row r="145" s="4" customFormat="1" ht="12.75"/>
    <row r="146" s="4" customFormat="1" ht="12.75"/>
    <row r="147" s="4" customFormat="1" ht="12.75"/>
    <row r="148" s="4" customFormat="1" ht="12.75"/>
    <row r="149" s="4" customFormat="1" ht="12.75"/>
    <row r="150" s="4" customFormat="1" ht="12.75"/>
    <row r="151" s="4" customFormat="1" ht="12.75"/>
    <row r="152" s="4" customFormat="1" ht="12.75"/>
    <row r="153" s="4" customFormat="1" ht="12.75"/>
    <row r="154" s="4" customFormat="1" ht="12.75"/>
    <row r="155" s="4" customFormat="1" ht="12.75"/>
    <row r="156" s="4" customFormat="1" ht="12.75"/>
    <row r="157" s="4" customFormat="1" ht="12.75"/>
    <row r="158" s="4" customFormat="1" ht="12.75"/>
    <row r="159" s="4" customFormat="1" ht="12.75"/>
    <row r="160" s="4" customFormat="1" ht="12.75"/>
    <row r="161" s="4" customFormat="1" ht="12.75"/>
    <row r="162" s="4" customFormat="1" ht="12.75"/>
    <row r="163" s="4" customFormat="1" ht="12.75"/>
    <row r="164" s="4" customFormat="1" ht="12.75"/>
    <row r="165" s="4" customFormat="1" ht="12.75"/>
    <row r="166" s="4" customFormat="1" ht="12.75"/>
    <row r="167" s="4" customFormat="1" ht="12.75"/>
    <row r="168" s="4" customFormat="1" ht="12.75"/>
    <row r="169" s="4" customFormat="1" ht="12.75"/>
    <row r="170" s="4" customFormat="1" ht="12.75"/>
    <row r="171" s="4" customFormat="1" ht="12.75"/>
    <row r="172" s="4" customFormat="1" ht="12.75"/>
    <row r="173" s="4" customFormat="1" ht="12.75"/>
    <row r="174" s="4" customFormat="1" ht="12.75"/>
    <row r="175" s="4" customFormat="1" ht="12.75"/>
    <row r="176" s="4" customFormat="1" ht="12.75"/>
    <row r="177" s="4" customFormat="1" ht="12.75"/>
    <row r="178" s="4" customFormat="1" ht="12.75"/>
    <row r="179" s="4" customFormat="1" ht="12.75"/>
    <row r="180" s="4" customFormat="1" ht="12.75"/>
    <row r="181" s="4" customFormat="1" ht="12.75"/>
    <row r="182" s="4" customFormat="1" ht="12.75"/>
    <row r="183" s="4" customFormat="1" ht="12.75"/>
    <row r="184" s="4" customFormat="1" ht="12.75"/>
    <row r="185" s="4" customFormat="1" ht="12.75"/>
    <row r="186" s="4" customFormat="1" ht="12.75"/>
    <row r="187" s="4" customFormat="1" ht="12.75"/>
    <row r="188" s="4" customFormat="1" ht="12.75"/>
    <row r="189" s="4" customFormat="1" ht="12.75"/>
    <row r="190" s="4" customFormat="1" ht="12.75"/>
    <row r="191" s="4" customFormat="1" ht="12.75"/>
    <row r="192" s="4" customFormat="1" ht="12.75"/>
    <row r="193" s="4" customFormat="1" ht="12.75"/>
    <row r="194" s="4" customFormat="1" ht="12.75"/>
    <row r="195" s="4" customFormat="1" ht="12.75"/>
    <row r="196" s="4" customFormat="1" ht="12.75"/>
    <row r="197" s="4" customFormat="1" ht="12.75"/>
    <row r="198" s="4" customFormat="1" ht="12.75"/>
    <row r="199" s="4" customFormat="1" ht="12.75"/>
    <row r="200" s="4" customFormat="1" ht="12.75"/>
    <row r="201" s="4" customFormat="1" ht="12.75"/>
    <row r="202" s="4" customFormat="1" ht="12.75"/>
    <row r="203" s="4" customFormat="1" ht="12.75"/>
    <row r="204" s="4" customFormat="1" ht="12.75"/>
    <row r="205" s="4" customFormat="1" ht="12.75"/>
    <row r="206" s="4" customFormat="1" ht="12.75"/>
    <row r="207" s="4" customFormat="1" ht="12.75"/>
    <row r="208" s="4" customFormat="1" ht="12.75"/>
    <row r="209" s="4" customFormat="1" ht="12.75"/>
    <row r="210" s="4" customFormat="1" ht="12.75"/>
    <row r="211" s="4" customFormat="1" ht="12.75"/>
    <row r="212" s="4" customFormat="1" ht="12.75"/>
    <row r="213" s="4" customFormat="1" ht="12.75"/>
    <row r="214" s="4" customFormat="1" ht="12.75"/>
    <row r="215" s="4" customFormat="1" ht="12.75"/>
    <row r="216" s="4" customFormat="1" ht="12.75"/>
    <row r="217" s="4" customFormat="1" ht="12.75"/>
    <row r="218" s="4" customFormat="1" ht="12.75"/>
    <row r="219" s="4" customFormat="1" ht="12.75"/>
    <row r="220" s="4" customFormat="1" ht="12.75"/>
    <row r="221" s="4" customFormat="1" ht="12.75"/>
    <row r="222" s="4" customFormat="1" ht="12.75"/>
    <row r="223" s="4" customFormat="1" ht="12.75"/>
    <row r="224" s="4" customFormat="1" ht="12.75"/>
    <row r="225" s="4" customFormat="1" ht="12.75"/>
    <row r="226" s="4" customFormat="1" ht="12.75"/>
    <row r="227" s="4" customFormat="1" ht="12.75"/>
    <row r="228" s="4" customFormat="1" ht="12.75"/>
    <row r="229" s="4" customFormat="1" ht="12.75"/>
    <row r="230" s="4" customFormat="1" ht="12.75"/>
    <row r="231" s="4" customFormat="1" ht="12.75"/>
    <row r="232" s="4" customFormat="1" ht="12.75"/>
    <row r="233" s="4" customFormat="1" ht="12.75"/>
    <row r="234" s="4" customFormat="1" ht="12.75"/>
    <row r="235" s="4" customFormat="1" ht="12.75"/>
  </sheetData>
  <mergeCells count="2">
    <mergeCell ref="A1:F1"/>
    <mergeCell ref="A2:F2"/>
  </mergeCells>
  <printOptions horizontalCentered="1"/>
  <pageMargins left="0.3937007874015748" right="0.3937007874015748" top="0.7874015748031497" bottom="0.3937007874015748" header="0.5118110236220472" footer="0.5118110236220472"/>
  <pageSetup fitToHeight="1" fitToWidth="1" horizontalDpi="600" verticalDpi="600" orientation="portrait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9"/>
  <sheetViews>
    <sheetView zoomScale="60" zoomScaleNormal="60" workbookViewId="0" topLeftCell="A1">
      <pane xSplit="1" ySplit="4" topLeftCell="B5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80" sqref="E80"/>
    </sheetView>
  </sheetViews>
  <sheetFormatPr defaultColWidth="9.00390625" defaultRowHeight="12.75"/>
  <cols>
    <col min="1" max="1" width="51.00390625" style="0" customWidth="1"/>
    <col min="2" max="6" width="25.25390625" style="0" customWidth="1"/>
  </cols>
  <sheetData>
    <row r="1" spans="1:6" s="54" customFormat="1" ht="47.25" customHeight="1">
      <c r="A1" s="53" t="s">
        <v>45</v>
      </c>
      <c r="B1" s="53"/>
      <c r="C1" s="53"/>
      <c r="D1" s="53"/>
      <c r="E1" s="53"/>
      <c r="F1" s="53"/>
    </row>
    <row r="2" spans="1:6" s="57" customFormat="1" ht="23.25">
      <c r="A2" s="55" t="s">
        <v>55</v>
      </c>
      <c r="B2" s="55"/>
      <c r="C2" s="55"/>
      <c r="D2" s="56"/>
      <c r="E2" s="56"/>
      <c r="F2" s="56"/>
    </row>
    <row r="3" s="58" customFormat="1" ht="18.75" thickBot="1">
      <c r="F3" s="59" t="s">
        <v>46</v>
      </c>
    </row>
    <row r="4" spans="1:6" s="2" customFormat="1" ht="29.25" customHeight="1" thickBot="1">
      <c r="A4" s="61" t="s">
        <v>30</v>
      </c>
      <c r="B4" s="62"/>
      <c r="C4" s="63" t="s">
        <v>0</v>
      </c>
      <c r="D4" s="63" t="s">
        <v>1</v>
      </c>
      <c r="E4" s="63" t="s">
        <v>2</v>
      </c>
      <c r="F4" s="64" t="s">
        <v>3</v>
      </c>
    </row>
    <row r="5" spans="1:6" s="3" customFormat="1" ht="57" customHeight="1">
      <c r="A5" s="65" t="s">
        <v>7</v>
      </c>
      <c r="B5" s="66">
        <f aca="true" t="shared" si="0" ref="B5:B69">C5+D5+E5+F5</f>
        <v>68050.001</v>
      </c>
      <c r="C5" s="67">
        <f>C6+C7</f>
        <v>30963.641</v>
      </c>
      <c r="D5" s="67">
        <f>D6+D7</f>
        <v>894.068</v>
      </c>
      <c r="E5" s="67">
        <f>E6+E7</f>
        <v>14872.129</v>
      </c>
      <c r="F5" s="68">
        <f>F6+F7</f>
        <v>21320.163</v>
      </c>
    </row>
    <row r="6" spans="1:6" s="3" customFormat="1" ht="27" customHeight="1">
      <c r="A6" s="34" t="s">
        <v>25</v>
      </c>
      <c r="B6" s="32">
        <f t="shared" si="0"/>
        <v>53864.530999999995</v>
      </c>
      <c r="C6" s="8">
        <f>30963.641-C7</f>
        <v>30730.178</v>
      </c>
      <c r="D6" s="8">
        <f>894.068-D7</f>
        <v>892.335</v>
      </c>
      <c r="E6" s="8">
        <f>14872.129-E7</f>
        <v>14265.66</v>
      </c>
      <c r="F6" s="9">
        <f>21320.163-F7</f>
        <v>7976.358</v>
      </c>
    </row>
    <row r="7" spans="1:6" s="3" customFormat="1" ht="20.25" customHeight="1">
      <c r="A7" s="34" t="s">
        <v>22</v>
      </c>
      <c r="B7" s="32">
        <f t="shared" si="0"/>
        <v>14185.470000000001</v>
      </c>
      <c r="C7" s="8">
        <f>C8+C9</f>
        <v>233.463</v>
      </c>
      <c r="D7" s="15">
        <f>D8+D9</f>
        <v>1.733</v>
      </c>
      <c r="E7" s="15">
        <f>E8+E9</f>
        <v>606.469</v>
      </c>
      <c r="F7" s="16">
        <f>F8+F9</f>
        <v>13343.805</v>
      </c>
    </row>
    <row r="8" spans="1:6" s="3" customFormat="1" ht="21.75" customHeight="1">
      <c r="A8" s="34" t="s">
        <v>23</v>
      </c>
      <c r="B8" s="32">
        <f t="shared" si="0"/>
        <v>4148.263</v>
      </c>
      <c r="C8" s="11">
        <f>37.766+5.235</f>
        <v>43.001</v>
      </c>
      <c r="D8" s="11"/>
      <c r="E8" s="11">
        <v>91.426</v>
      </c>
      <c r="F8" s="12">
        <f>4000.503+13.333</f>
        <v>4013.8360000000002</v>
      </c>
    </row>
    <row r="9" spans="1:6" s="3" customFormat="1" ht="24.75" customHeight="1">
      <c r="A9" s="34" t="s">
        <v>24</v>
      </c>
      <c r="B9" s="32">
        <f t="shared" si="0"/>
        <v>10037.207</v>
      </c>
      <c r="C9" s="11">
        <v>190.462</v>
      </c>
      <c r="D9" s="11">
        <v>1.733</v>
      </c>
      <c r="E9" s="11">
        <v>515.043</v>
      </c>
      <c r="F9" s="12">
        <f>14147.414-C7-D7-E7-F8+38.056</f>
        <v>9329.969000000001</v>
      </c>
    </row>
    <row r="10" spans="1:6" s="3" customFormat="1" ht="47.25" customHeight="1">
      <c r="A10" s="69" t="s">
        <v>15</v>
      </c>
      <c r="B10" s="32">
        <f t="shared" si="0"/>
        <v>4476.8009999999995</v>
      </c>
      <c r="C10" s="15">
        <f>C11+C12</f>
        <v>583.64</v>
      </c>
      <c r="D10" s="15"/>
      <c r="E10" s="15">
        <f>E11+E12</f>
        <v>1562.782</v>
      </c>
      <c r="F10" s="16">
        <f>F11+F12</f>
        <v>2330.379</v>
      </c>
    </row>
    <row r="11" spans="1:6" s="3" customFormat="1" ht="21.75" customHeight="1">
      <c r="A11" s="34" t="s">
        <v>25</v>
      </c>
      <c r="B11" s="32">
        <f t="shared" si="0"/>
        <v>2778.991</v>
      </c>
      <c r="C11" s="8">
        <f>583.64-C12</f>
        <v>540.64</v>
      </c>
      <c r="D11" s="8"/>
      <c r="E11" s="8">
        <f>1562.782-E12</f>
        <v>1210.925</v>
      </c>
      <c r="F11" s="9">
        <f>2330.379-F12</f>
        <v>1027.426</v>
      </c>
    </row>
    <row r="12" spans="1:6" s="3" customFormat="1" ht="19.5" customHeight="1">
      <c r="A12" s="34" t="s">
        <v>22</v>
      </c>
      <c r="B12" s="32">
        <f t="shared" si="0"/>
        <v>1697.81</v>
      </c>
      <c r="C12" s="15">
        <f>C13+C14</f>
        <v>43</v>
      </c>
      <c r="D12" s="8"/>
      <c r="E12" s="15">
        <f>E13+E14</f>
        <v>351.857</v>
      </c>
      <c r="F12" s="16">
        <f>F13+F14</f>
        <v>1302.953</v>
      </c>
    </row>
    <row r="13" spans="1:6" s="3" customFormat="1" ht="17.25" customHeight="1">
      <c r="A13" s="34" t="s">
        <v>23</v>
      </c>
      <c r="B13" s="32">
        <f t="shared" si="0"/>
        <v>954.851</v>
      </c>
      <c r="C13" s="11"/>
      <c r="D13" s="11"/>
      <c r="E13" s="11">
        <v>43</v>
      </c>
      <c r="F13" s="12">
        <v>911.851</v>
      </c>
    </row>
    <row r="14" spans="1:6" s="3" customFormat="1" ht="17.25" customHeight="1">
      <c r="A14" s="34" t="s">
        <v>24</v>
      </c>
      <c r="B14" s="32">
        <f t="shared" si="0"/>
        <v>742.9590000000001</v>
      </c>
      <c r="C14" s="11">
        <v>43</v>
      </c>
      <c r="D14" s="11"/>
      <c r="E14" s="11">
        <v>308.857</v>
      </c>
      <c r="F14" s="12">
        <v>391.102</v>
      </c>
    </row>
    <row r="15" spans="1:6" s="3" customFormat="1" ht="35.25" customHeight="1">
      <c r="A15" s="69" t="s">
        <v>6</v>
      </c>
      <c r="B15" s="32">
        <f t="shared" si="0"/>
        <v>883.597</v>
      </c>
      <c r="C15" s="15">
        <f>C16+C17</f>
        <v>883.597</v>
      </c>
      <c r="D15" s="8"/>
      <c r="E15" s="8"/>
      <c r="F15" s="9"/>
    </row>
    <row r="16" spans="1:6" s="3" customFormat="1" ht="19.5" customHeight="1">
      <c r="A16" s="34" t="s">
        <v>25</v>
      </c>
      <c r="B16" s="32">
        <f t="shared" si="0"/>
        <v>883.597</v>
      </c>
      <c r="C16" s="8">
        <v>883.597</v>
      </c>
      <c r="D16" s="8"/>
      <c r="E16" s="15"/>
      <c r="F16" s="16"/>
    </row>
    <row r="17" spans="1:6" s="3" customFormat="1" ht="18" customHeight="1">
      <c r="A17" s="34" t="s">
        <v>22</v>
      </c>
      <c r="B17" s="32">
        <f t="shared" si="0"/>
        <v>0</v>
      </c>
      <c r="C17" s="8"/>
      <c r="D17" s="8"/>
      <c r="E17" s="15">
        <f>E18+E19</f>
        <v>0</v>
      </c>
      <c r="F17" s="16">
        <f>F18+F19</f>
        <v>0</v>
      </c>
    </row>
    <row r="18" spans="1:6" s="3" customFormat="1" ht="19.5" customHeight="1">
      <c r="A18" s="34" t="s">
        <v>23</v>
      </c>
      <c r="B18" s="32">
        <f t="shared" si="0"/>
        <v>0</v>
      </c>
      <c r="C18" s="11"/>
      <c r="D18" s="11"/>
      <c r="E18" s="11"/>
      <c r="F18" s="12"/>
    </row>
    <row r="19" spans="1:6" s="3" customFormat="1" ht="19.5" customHeight="1">
      <c r="A19" s="34" t="s">
        <v>24</v>
      </c>
      <c r="B19" s="32">
        <f t="shared" si="0"/>
        <v>0</v>
      </c>
      <c r="C19" s="11"/>
      <c r="D19" s="11"/>
      <c r="E19" s="11"/>
      <c r="F19" s="12"/>
    </row>
    <row r="20" spans="1:6" s="3" customFormat="1" ht="51" customHeight="1">
      <c r="A20" s="69" t="s">
        <v>8</v>
      </c>
      <c r="B20" s="32">
        <f t="shared" si="0"/>
        <v>265.761</v>
      </c>
      <c r="C20" s="15">
        <f>C21+C22</f>
        <v>6.949</v>
      </c>
      <c r="D20" s="15">
        <f>D21+D22</f>
        <v>151.959</v>
      </c>
      <c r="E20" s="15">
        <f>E21+E22</f>
        <v>12.186</v>
      </c>
      <c r="F20" s="16">
        <f>F21+F22</f>
        <v>94.667</v>
      </c>
    </row>
    <row r="21" spans="1:6" s="3" customFormat="1" ht="21.75" customHeight="1">
      <c r="A21" s="34" t="s">
        <v>25</v>
      </c>
      <c r="B21" s="32">
        <f t="shared" si="0"/>
        <v>245.92100000000002</v>
      </c>
      <c r="C21" s="8">
        <v>6.949</v>
      </c>
      <c r="D21" s="8">
        <v>151.959</v>
      </c>
      <c r="E21" s="8">
        <v>12.186</v>
      </c>
      <c r="F21" s="9">
        <f>94.667-F22</f>
        <v>74.827</v>
      </c>
    </row>
    <row r="22" spans="1:6" s="3" customFormat="1" ht="21" customHeight="1">
      <c r="A22" s="34" t="s">
        <v>22</v>
      </c>
      <c r="B22" s="32">
        <f t="shared" si="0"/>
        <v>19.84</v>
      </c>
      <c r="C22" s="8"/>
      <c r="D22" s="8"/>
      <c r="E22" s="15">
        <f>E23+E24</f>
        <v>0</v>
      </c>
      <c r="F22" s="16">
        <f>F23+F24</f>
        <v>19.84</v>
      </c>
    </row>
    <row r="23" spans="1:6" s="3" customFormat="1" ht="21.75" customHeight="1">
      <c r="A23" s="34" t="s">
        <v>23</v>
      </c>
      <c r="B23" s="32">
        <f t="shared" si="0"/>
        <v>19.84</v>
      </c>
      <c r="C23" s="11"/>
      <c r="D23" s="11"/>
      <c r="E23" s="11"/>
      <c r="F23" s="12">
        <v>19.84</v>
      </c>
    </row>
    <row r="24" spans="1:6" s="3" customFormat="1" ht="21" customHeight="1">
      <c r="A24" s="34" t="s">
        <v>24</v>
      </c>
      <c r="B24" s="32">
        <f t="shared" si="0"/>
        <v>0</v>
      </c>
      <c r="C24" s="11"/>
      <c r="D24" s="11"/>
      <c r="E24" s="11"/>
      <c r="F24" s="12"/>
    </row>
    <row r="25" spans="1:6" s="3" customFormat="1" ht="41.25" customHeight="1">
      <c r="A25" s="69" t="s">
        <v>9</v>
      </c>
      <c r="B25" s="32">
        <f t="shared" si="0"/>
        <v>9279.211</v>
      </c>
      <c r="C25" s="15">
        <f>C26+C27</f>
        <v>4489.4</v>
      </c>
      <c r="D25" s="15"/>
      <c r="E25" s="15">
        <f>E26+E27</f>
        <v>1432.103</v>
      </c>
      <c r="F25" s="16">
        <f>F26+F27</f>
        <v>3357.708</v>
      </c>
    </row>
    <row r="26" spans="1:6" s="3" customFormat="1" ht="19.5" customHeight="1">
      <c r="A26" s="34" t="s">
        <v>25</v>
      </c>
      <c r="B26" s="32">
        <f t="shared" si="0"/>
        <v>7089.414</v>
      </c>
      <c r="C26" s="8">
        <v>4489.4</v>
      </c>
      <c r="D26" s="8"/>
      <c r="E26" s="15">
        <v>1432.103</v>
      </c>
      <c r="F26" s="16">
        <f>3357.708-F27</f>
        <v>1167.911</v>
      </c>
    </row>
    <row r="27" spans="1:6" s="3" customFormat="1" ht="24.75" customHeight="1">
      <c r="A27" s="34" t="s">
        <v>22</v>
      </c>
      <c r="B27" s="32">
        <f t="shared" si="0"/>
        <v>2189.797</v>
      </c>
      <c r="C27" s="8"/>
      <c r="D27" s="8"/>
      <c r="E27" s="15">
        <f>E28+E29</f>
        <v>0</v>
      </c>
      <c r="F27" s="16">
        <f>F28+F29</f>
        <v>2189.797</v>
      </c>
    </row>
    <row r="28" spans="1:6" s="3" customFormat="1" ht="25.5" customHeight="1">
      <c r="A28" s="34" t="s">
        <v>23</v>
      </c>
      <c r="B28" s="32">
        <f t="shared" si="0"/>
        <v>2165.797</v>
      </c>
      <c r="C28" s="11"/>
      <c r="D28" s="11"/>
      <c r="E28" s="11"/>
      <c r="F28" s="12">
        <f>2189.797-F29</f>
        <v>2165.797</v>
      </c>
    </row>
    <row r="29" spans="1:6" s="3" customFormat="1" ht="20.25" customHeight="1">
      <c r="A29" s="34" t="s">
        <v>24</v>
      </c>
      <c r="B29" s="32">
        <f t="shared" si="0"/>
        <v>24</v>
      </c>
      <c r="C29" s="11"/>
      <c r="D29" s="11"/>
      <c r="E29" s="11"/>
      <c r="F29" s="12">
        <v>24</v>
      </c>
    </row>
    <row r="30" spans="1:6" s="3" customFormat="1" ht="50.25" customHeight="1">
      <c r="A30" s="69" t="s">
        <v>10</v>
      </c>
      <c r="B30" s="32">
        <f t="shared" si="0"/>
        <v>86.154</v>
      </c>
      <c r="C30" s="15"/>
      <c r="D30" s="15"/>
      <c r="E30" s="15">
        <f>E31+E32</f>
        <v>53.349</v>
      </c>
      <c r="F30" s="16">
        <f>F31+F32</f>
        <v>32.805</v>
      </c>
    </row>
    <row r="31" spans="1:6" s="3" customFormat="1" ht="22.5" customHeight="1">
      <c r="A31" s="34" t="s">
        <v>25</v>
      </c>
      <c r="B31" s="32">
        <f t="shared" si="0"/>
        <v>61.611999999999995</v>
      </c>
      <c r="C31" s="8"/>
      <c r="D31" s="8"/>
      <c r="E31" s="15">
        <v>53.349</v>
      </c>
      <c r="F31" s="16">
        <f>32.805-F32</f>
        <v>8.262999999999998</v>
      </c>
    </row>
    <row r="32" spans="1:6" s="3" customFormat="1" ht="24.75" customHeight="1">
      <c r="A32" s="34" t="s">
        <v>22</v>
      </c>
      <c r="B32" s="32">
        <f t="shared" si="0"/>
        <v>24.542</v>
      </c>
      <c r="C32" s="8"/>
      <c r="D32" s="8"/>
      <c r="E32" s="15">
        <f>E33+E34</f>
        <v>0</v>
      </c>
      <c r="F32" s="16">
        <f>F33+F34</f>
        <v>24.542</v>
      </c>
    </row>
    <row r="33" spans="1:6" s="3" customFormat="1" ht="18" customHeight="1">
      <c r="A33" s="34" t="s">
        <v>23</v>
      </c>
      <c r="B33" s="32">
        <f t="shared" si="0"/>
        <v>20.646</v>
      </c>
      <c r="C33" s="11"/>
      <c r="D33" s="11"/>
      <c r="E33" s="11"/>
      <c r="F33" s="12">
        <v>20.646</v>
      </c>
    </row>
    <row r="34" spans="1:6" s="3" customFormat="1" ht="18" customHeight="1">
      <c r="A34" s="34" t="s">
        <v>24</v>
      </c>
      <c r="B34" s="32">
        <f t="shared" si="0"/>
        <v>3.896</v>
      </c>
      <c r="C34" s="11"/>
      <c r="D34" s="11"/>
      <c r="E34" s="11"/>
      <c r="F34" s="12">
        <v>3.896</v>
      </c>
    </row>
    <row r="35" spans="1:6" s="3" customFormat="1" ht="25.5" customHeight="1">
      <c r="A35" s="69" t="s">
        <v>40</v>
      </c>
      <c r="B35" s="32">
        <f t="shared" si="0"/>
        <v>0</v>
      </c>
      <c r="C35" s="21"/>
      <c r="D35" s="21"/>
      <c r="E35" s="15">
        <f>E36+E37</f>
        <v>0</v>
      </c>
      <c r="F35" s="16">
        <f>F36+F37</f>
        <v>0</v>
      </c>
    </row>
    <row r="36" spans="1:6" s="3" customFormat="1" ht="23.25" customHeight="1">
      <c r="A36" s="34" t="s">
        <v>25</v>
      </c>
      <c r="B36" s="32">
        <f t="shared" si="0"/>
        <v>0</v>
      </c>
      <c r="C36" s="8"/>
      <c r="D36" s="8"/>
      <c r="E36" s="8"/>
      <c r="F36" s="9"/>
    </row>
    <row r="37" spans="1:6" s="3" customFormat="1" ht="23.25" customHeight="1">
      <c r="A37" s="34" t="s">
        <v>22</v>
      </c>
      <c r="B37" s="32">
        <f t="shared" si="0"/>
        <v>0</v>
      </c>
      <c r="C37" s="8"/>
      <c r="D37" s="8"/>
      <c r="E37" s="15">
        <f>E38+E39</f>
        <v>0</v>
      </c>
      <c r="F37" s="16">
        <f>F38+F39</f>
        <v>0</v>
      </c>
    </row>
    <row r="38" spans="1:6" s="3" customFormat="1" ht="23.25" customHeight="1">
      <c r="A38" s="34" t="s">
        <v>23</v>
      </c>
      <c r="B38" s="32">
        <f t="shared" si="0"/>
        <v>0</v>
      </c>
      <c r="C38" s="21"/>
      <c r="D38" s="21"/>
      <c r="E38" s="21"/>
      <c r="F38" s="25"/>
    </row>
    <row r="39" spans="1:6" s="3" customFormat="1" ht="23.25" customHeight="1">
      <c r="A39" s="34" t="s">
        <v>24</v>
      </c>
      <c r="B39" s="32">
        <f t="shared" si="0"/>
        <v>0</v>
      </c>
      <c r="C39" s="21"/>
      <c r="D39" s="21"/>
      <c r="E39" s="21"/>
      <c r="F39" s="25"/>
    </row>
    <row r="40" spans="1:6" s="3" customFormat="1" ht="42" customHeight="1">
      <c r="A40" s="69" t="s">
        <v>41</v>
      </c>
      <c r="B40" s="32">
        <f t="shared" si="0"/>
        <v>0</v>
      </c>
      <c r="C40" s="21"/>
      <c r="D40" s="21"/>
      <c r="E40" s="15">
        <f>E41+E42</f>
        <v>0</v>
      </c>
      <c r="F40" s="16">
        <f>F41+F42</f>
        <v>0</v>
      </c>
    </row>
    <row r="41" spans="1:6" s="3" customFormat="1" ht="19.5" customHeight="1">
      <c r="A41" s="34" t="s">
        <v>25</v>
      </c>
      <c r="B41" s="32">
        <f t="shared" si="0"/>
        <v>0</v>
      </c>
      <c r="C41" s="8"/>
      <c r="D41" s="8"/>
      <c r="E41" s="8"/>
      <c r="F41" s="9"/>
    </row>
    <row r="42" spans="1:6" s="3" customFormat="1" ht="19.5" customHeight="1">
      <c r="A42" s="34" t="s">
        <v>22</v>
      </c>
      <c r="B42" s="32">
        <f t="shared" si="0"/>
        <v>0</v>
      </c>
      <c r="C42" s="8"/>
      <c r="D42" s="8"/>
      <c r="E42" s="15">
        <f>E43+E44</f>
        <v>0</v>
      </c>
      <c r="F42" s="16">
        <f>F43+F44</f>
        <v>0</v>
      </c>
    </row>
    <row r="43" spans="1:6" s="3" customFormat="1" ht="19.5" customHeight="1">
      <c r="A43" s="34" t="s">
        <v>23</v>
      </c>
      <c r="B43" s="32">
        <f t="shared" si="0"/>
        <v>0</v>
      </c>
      <c r="C43" s="21"/>
      <c r="D43" s="21"/>
      <c r="E43" s="21"/>
      <c r="F43" s="25"/>
    </row>
    <row r="44" spans="1:6" s="3" customFormat="1" ht="19.5" customHeight="1">
      <c r="A44" s="34" t="s">
        <v>24</v>
      </c>
      <c r="B44" s="32">
        <f t="shared" si="0"/>
        <v>0</v>
      </c>
      <c r="C44" s="21"/>
      <c r="D44" s="21"/>
      <c r="E44" s="21"/>
      <c r="F44" s="25"/>
    </row>
    <row r="45" spans="1:6" s="3" customFormat="1" ht="24.75" customHeight="1">
      <c r="A45" s="69" t="s">
        <v>11</v>
      </c>
      <c r="B45" s="32">
        <f t="shared" si="0"/>
        <v>1986.384</v>
      </c>
      <c r="C45" s="15">
        <f>C46+C47</f>
        <v>0</v>
      </c>
      <c r="D45" s="8"/>
      <c r="E45" s="15">
        <f>E46+E47</f>
        <v>1566.242</v>
      </c>
      <c r="F45" s="16">
        <f>F46+F47</f>
        <v>420.142</v>
      </c>
    </row>
    <row r="46" spans="1:6" s="3" customFormat="1" ht="24.75" customHeight="1">
      <c r="A46" s="34" t="s">
        <v>25</v>
      </c>
      <c r="B46" s="32">
        <f t="shared" si="0"/>
        <v>1636.9589999999998</v>
      </c>
      <c r="C46" s="8"/>
      <c r="D46" s="8"/>
      <c r="E46" s="15">
        <f>1566.242-E47</f>
        <v>1558.3899999999999</v>
      </c>
      <c r="F46" s="16">
        <f>420.142-F47</f>
        <v>78.56900000000002</v>
      </c>
    </row>
    <row r="47" spans="1:6" s="3" customFormat="1" ht="24.75" customHeight="1">
      <c r="A47" s="34" t="s">
        <v>22</v>
      </c>
      <c r="B47" s="32">
        <f t="shared" si="0"/>
        <v>349.42499999999995</v>
      </c>
      <c r="C47" s="8"/>
      <c r="D47" s="8"/>
      <c r="E47" s="15">
        <f>E48+E49</f>
        <v>7.852</v>
      </c>
      <c r="F47" s="16">
        <f>F48+F49</f>
        <v>341.573</v>
      </c>
    </row>
    <row r="48" spans="1:6" s="3" customFormat="1" ht="24.75" customHeight="1">
      <c r="A48" s="34" t="s">
        <v>23</v>
      </c>
      <c r="B48" s="32">
        <f t="shared" si="0"/>
        <v>261.13100000000003</v>
      </c>
      <c r="C48" s="8"/>
      <c r="D48" s="8"/>
      <c r="E48" s="11">
        <v>6.38</v>
      </c>
      <c r="F48" s="12">
        <v>254.751</v>
      </c>
    </row>
    <row r="49" spans="1:6" s="3" customFormat="1" ht="24.75" customHeight="1">
      <c r="A49" s="34" t="s">
        <v>24</v>
      </c>
      <c r="B49" s="32">
        <f t="shared" si="0"/>
        <v>88.294</v>
      </c>
      <c r="C49" s="8"/>
      <c r="D49" s="8"/>
      <c r="E49" s="11">
        <v>1.472</v>
      </c>
      <c r="F49" s="12">
        <v>86.822</v>
      </c>
    </row>
    <row r="50" spans="1:6" s="3" customFormat="1" ht="24.75" customHeight="1">
      <c r="A50" s="69" t="s">
        <v>5</v>
      </c>
      <c r="B50" s="32">
        <f t="shared" si="0"/>
        <v>1562.7530000000002</v>
      </c>
      <c r="C50" s="15">
        <f>C51+C52</f>
        <v>341.097</v>
      </c>
      <c r="D50" s="8"/>
      <c r="E50" s="15">
        <f>E51+E52</f>
        <v>624.754</v>
      </c>
      <c r="F50" s="16">
        <f>F51+F52</f>
        <v>596.902</v>
      </c>
    </row>
    <row r="51" spans="1:6" s="3" customFormat="1" ht="24.75" customHeight="1">
      <c r="A51" s="34" t="s">
        <v>25</v>
      </c>
      <c r="B51" s="32">
        <f t="shared" si="0"/>
        <v>825.923</v>
      </c>
      <c r="C51" s="15">
        <v>341.097</v>
      </c>
      <c r="D51" s="8"/>
      <c r="E51" s="15">
        <f>624.754-E52</f>
        <v>239.60500000000002</v>
      </c>
      <c r="F51" s="16">
        <f>596.902-F52</f>
        <v>245.22100000000006</v>
      </c>
    </row>
    <row r="52" spans="1:6" s="3" customFormat="1" ht="24.75" customHeight="1">
      <c r="A52" s="34" t="s">
        <v>22</v>
      </c>
      <c r="B52" s="32">
        <f t="shared" si="0"/>
        <v>736.8299999999999</v>
      </c>
      <c r="C52" s="8"/>
      <c r="D52" s="8"/>
      <c r="E52" s="15">
        <f>E53+E54</f>
        <v>385.149</v>
      </c>
      <c r="F52" s="16">
        <f>F53+F54</f>
        <v>351.681</v>
      </c>
    </row>
    <row r="53" spans="1:6" s="3" customFormat="1" ht="24.75" customHeight="1">
      <c r="A53" s="34" t="s">
        <v>23</v>
      </c>
      <c r="B53" s="32">
        <f t="shared" si="0"/>
        <v>736.8299999999999</v>
      </c>
      <c r="C53" s="11"/>
      <c r="D53" s="11"/>
      <c r="E53" s="11">
        <v>385.149</v>
      </c>
      <c r="F53" s="12">
        <v>351.681</v>
      </c>
    </row>
    <row r="54" spans="1:6" s="3" customFormat="1" ht="24.75" customHeight="1">
      <c r="A54" s="34" t="s">
        <v>24</v>
      </c>
      <c r="B54" s="32">
        <f t="shared" si="0"/>
        <v>0</v>
      </c>
      <c r="C54" s="11"/>
      <c r="D54" s="11"/>
      <c r="E54" s="11"/>
      <c r="F54" s="12"/>
    </row>
    <row r="55" spans="1:6" s="3" customFormat="1" ht="50.25" customHeight="1">
      <c r="A55" s="69" t="s">
        <v>12</v>
      </c>
      <c r="B55" s="32">
        <f t="shared" si="0"/>
        <v>4829.298</v>
      </c>
      <c r="C55" s="15"/>
      <c r="D55" s="8"/>
      <c r="E55" s="15">
        <f>E56+E57</f>
        <v>1170.807</v>
      </c>
      <c r="F55" s="16">
        <f>F56+F57</f>
        <v>3658.491</v>
      </c>
    </row>
    <row r="56" spans="1:6" s="3" customFormat="1" ht="26.25" customHeight="1">
      <c r="A56" s="34" t="s">
        <v>25</v>
      </c>
      <c r="B56" s="32">
        <f t="shared" si="0"/>
        <v>2312.754</v>
      </c>
      <c r="C56" s="8"/>
      <c r="D56" s="8"/>
      <c r="E56" s="15">
        <f>1170.807-E57</f>
        <v>1004.388</v>
      </c>
      <c r="F56" s="16">
        <f>3658.491-F57</f>
        <v>1308.366</v>
      </c>
    </row>
    <row r="57" spans="1:6" s="3" customFormat="1" ht="26.25" customHeight="1">
      <c r="A57" s="34" t="s">
        <v>22</v>
      </c>
      <c r="B57" s="32">
        <f t="shared" si="0"/>
        <v>2516.544</v>
      </c>
      <c r="C57" s="8"/>
      <c r="D57" s="8"/>
      <c r="E57" s="15">
        <f>E58+E59</f>
        <v>166.419</v>
      </c>
      <c r="F57" s="16">
        <f>F58+F59</f>
        <v>2350.125</v>
      </c>
    </row>
    <row r="58" spans="1:6" s="3" customFormat="1" ht="26.25" customHeight="1">
      <c r="A58" s="34" t="s">
        <v>23</v>
      </c>
      <c r="B58" s="32">
        <f t="shared" si="0"/>
        <v>607.8399999999999</v>
      </c>
      <c r="C58" s="10"/>
      <c r="D58" s="8"/>
      <c r="E58" s="11">
        <v>23.703</v>
      </c>
      <c r="F58" s="12">
        <v>584.137</v>
      </c>
    </row>
    <row r="59" spans="1:6" s="3" customFormat="1" ht="26.25" customHeight="1">
      <c r="A59" s="34" t="s">
        <v>24</v>
      </c>
      <c r="B59" s="32">
        <f t="shared" si="0"/>
        <v>1908.7040000000002</v>
      </c>
      <c r="C59" s="10"/>
      <c r="D59" s="8"/>
      <c r="E59" s="11">
        <v>142.716</v>
      </c>
      <c r="F59" s="12">
        <v>1765.988</v>
      </c>
    </row>
    <row r="60" spans="1:6" s="3" customFormat="1" ht="24.75" customHeight="1">
      <c r="A60" s="70" t="s">
        <v>13</v>
      </c>
      <c r="B60" s="32">
        <f t="shared" si="0"/>
        <v>142.61700000000002</v>
      </c>
      <c r="C60" s="10"/>
      <c r="D60" s="8"/>
      <c r="E60" s="8">
        <f>E61+E62</f>
        <v>76.968</v>
      </c>
      <c r="F60" s="9">
        <f>F61+F62</f>
        <v>65.649</v>
      </c>
    </row>
    <row r="61" spans="1:6" s="3" customFormat="1" ht="21.75" customHeight="1">
      <c r="A61" s="34" t="s">
        <v>25</v>
      </c>
      <c r="B61" s="32">
        <f t="shared" si="0"/>
        <v>142.61700000000002</v>
      </c>
      <c r="C61" s="8"/>
      <c r="D61" s="8"/>
      <c r="E61" s="15">
        <v>76.968</v>
      </c>
      <c r="F61" s="16">
        <v>65.649</v>
      </c>
    </row>
    <row r="62" spans="1:6" s="3" customFormat="1" ht="16.5" customHeight="1">
      <c r="A62" s="34" t="s">
        <v>22</v>
      </c>
      <c r="B62" s="32">
        <f t="shared" si="0"/>
        <v>0</v>
      </c>
      <c r="C62" s="8"/>
      <c r="D62" s="8"/>
      <c r="E62" s="15">
        <f>E63+E64</f>
        <v>0</v>
      </c>
      <c r="F62" s="16">
        <f>F63+F64</f>
        <v>0</v>
      </c>
    </row>
    <row r="63" spans="1:6" s="3" customFormat="1" ht="18" customHeight="1">
      <c r="A63" s="34" t="s">
        <v>23</v>
      </c>
      <c r="B63" s="32">
        <f t="shared" si="0"/>
        <v>0</v>
      </c>
      <c r="C63" s="10"/>
      <c r="D63" s="8"/>
      <c r="E63" s="10"/>
      <c r="F63" s="17"/>
    </row>
    <row r="64" spans="1:6" s="3" customFormat="1" ht="18" customHeight="1">
      <c r="A64" s="34" t="s">
        <v>24</v>
      </c>
      <c r="B64" s="32">
        <f t="shared" si="0"/>
        <v>0</v>
      </c>
      <c r="C64" s="10"/>
      <c r="D64" s="8"/>
      <c r="E64" s="10"/>
      <c r="F64" s="17"/>
    </row>
    <row r="65" spans="1:6" s="3" customFormat="1" ht="24.75" customHeight="1">
      <c r="A65" s="70" t="s">
        <v>4</v>
      </c>
      <c r="B65" s="32">
        <f t="shared" si="0"/>
        <v>550.247</v>
      </c>
      <c r="C65" s="15">
        <f>C66+C67</f>
        <v>550.247</v>
      </c>
      <c r="D65" s="8"/>
      <c r="E65" s="8"/>
      <c r="F65" s="9"/>
    </row>
    <row r="66" spans="1:6" s="3" customFormat="1" ht="21.75" customHeight="1">
      <c r="A66" s="34" t="s">
        <v>25</v>
      </c>
      <c r="B66" s="32">
        <f t="shared" si="0"/>
        <v>550.247</v>
      </c>
      <c r="C66" s="15">
        <v>550.247</v>
      </c>
      <c r="D66" s="8"/>
      <c r="E66" s="15">
        <f>E65-E67</f>
        <v>0</v>
      </c>
      <c r="F66" s="16">
        <f>F65-F67</f>
        <v>0</v>
      </c>
    </row>
    <row r="67" spans="1:6" s="3" customFormat="1" ht="18" customHeight="1">
      <c r="A67" s="34" t="s">
        <v>22</v>
      </c>
      <c r="B67" s="32">
        <f t="shared" si="0"/>
        <v>0</v>
      </c>
      <c r="C67" s="15">
        <f>C68+C69</f>
        <v>0</v>
      </c>
      <c r="D67" s="8"/>
      <c r="E67" s="15">
        <f>E68+E69</f>
        <v>0</v>
      </c>
      <c r="F67" s="16">
        <f>F68+F69</f>
        <v>0</v>
      </c>
    </row>
    <row r="68" spans="1:6" s="3" customFormat="1" ht="19.5" customHeight="1">
      <c r="A68" s="34" t="s">
        <v>23</v>
      </c>
      <c r="B68" s="32">
        <f t="shared" si="0"/>
        <v>0</v>
      </c>
      <c r="C68" s="11"/>
      <c r="D68" s="8"/>
      <c r="E68" s="8"/>
      <c r="F68" s="9"/>
    </row>
    <row r="69" spans="1:6" s="3" customFormat="1" ht="19.5" customHeight="1" thickBot="1">
      <c r="A69" s="35" t="s">
        <v>24</v>
      </c>
      <c r="B69" s="33">
        <f t="shared" si="0"/>
        <v>0</v>
      </c>
      <c r="C69" s="14"/>
      <c r="D69" s="13"/>
      <c r="E69" s="13"/>
      <c r="F69" s="18"/>
    </row>
    <row r="70" spans="1:6" s="81" customFormat="1" ht="23.25" customHeight="1">
      <c r="A70" s="105" t="s">
        <v>34</v>
      </c>
      <c r="B70" s="72">
        <f>C70+D70+E70+F70</f>
        <v>158.647</v>
      </c>
      <c r="C70" s="40"/>
      <c r="D70" s="40"/>
      <c r="E70" s="41">
        <v>158.647</v>
      </c>
      <c r="F70" s="42"/>
    </row>
    <row r="71" spans="1:6" s="81" customFormat="1" ht="23.25" customHeight="1">
      <c r="A71" s="39" t="s">
        <v>35</v>
      </c>
      <c r="B71" s="6">
        <f aca="true" t="shared" si="1" ref="B71:B79">C71+D71+E71+F71</f>
        <v>14.829</v>
      </c>
      <c r="C71" s="8"/>
      <c r="D71" s="8"/>
      <c r="E71" s="11">
        <v>14.829</v>
      </c>
      <c r="F71" s="9"/>
    </row>
    <row r="72" spans="1:6" s="81" customFormat="1" ht="23.25" customHeight="1">
      <c r="A72" s="39" t="s">
        <v>42</v>
      </c>
      <c r="B72" s="6">
        <f t="shared" si="1"/>
        <v>432.611</v>
      </c>
      <c r="C72" s="8"/>
      <c r="D72" s="8"/>
      <c r="E72" s="11">
        <v>382.591</v>
      </c>
      <c r="F72" s="12">
        <v>50.02</v>
      </c>
    </row>
    <row r="73" spans="1:6" s="81" customFormat="1" ht="47.25" customHeight="1">
      <c r="A73" s="48" t="s">
        <v>43</v>
      </c>
      <c r="B73" s="6">
        <f t="shared" si="1"/>
        <v>1320.8000000000002</v>
      </c>
      <c r="C73" s="75">
        <v>1313.4</v>
      </c>
      <c r="D73" s="75"/>
      <c r="E73" s="75"/>
      <c r="F73" s="76">
        <v>7.4</v>
      </c>
    </row>
    <row r="74" spans="1:6" s="81" customFormat="1" ht="23.25" customHeight="1">
      <c r="A74" s="39" t="s">
        <v>36</v>
      </c>
      <c r="B74" s="6">
        <f t="shared" si="1"/>
        <v>590.717</v>
      </c>
      <c r="C74" s="10">
        <v>590.717</v>
      </c>
      <c r="D74" s="10"/>
      <c r="E74" s="10"/>
      <c r="F74" s="17"/>
    </row>
    <row r="75" spans="1:6" s="81" customFormat="1" ht="23.25" customHeight="1">
      <c r="A75" s="39" t="s">
        <v>44</v>
      </c>
      <c r="B75" s="6">
        <f t="shared" si="1"/>
        <v>0</v>
      </c>
      <c r="C75" s="10"/>
      <c r="D75" s="10"/>
      <c r="E75" s="10"/>
      <c r="F75" s="17"/>
    </row>
    <row r="76" spans="1:6" s="81" customFormat="1" ht="47.25" customHeight="1">
      <c r="A76" s="48" t="s">
        <v>37</v>
      </c>
      <c r="B76" s="79">
        <f t="shared" si="1"/>
        <v>0</v>
      </c>
      <c r="C76" s="46"/>
      <c r="D76" s="46"/>
      <c r="E76" s="46"/>
      <c r="F76" s="47"/>
    </row>
    <row r="77" spans="1:6" s="81" customFormat="1" ht="42" customHeight="1">
      <c r="A77" s="80" t="s">
        <v>38</v>
      </c>
      <c r="B77" s="79">
        <f t="shared" si="1"/>
        <v>0</v>
      </c>
      <c r="C77" s="46"/>
      <c r="D77" s="46"/>
      <c r="E77" s="46"/>
      <c r="F77" s="47"/>
    </row>
    <row r="78" spans="1:6" s="4" customFormat="1" ht="54.75" thickBot="1">
      <c r="A78" s="82" t="s">
        <v>39</v>
      </c>
      <c r="B78" s="83">
        <f t="shared" si="1"/>
        <v>0</v>
      </c>
      <c r="C78" s="84"/>
      <c r="D78" s="84"/>
      <c r="E78" s="84"/>
      <c r="F78" s="85"/>
    </row>
    <row r="79" spans="1:6" s="4" customFormat="1" ht="37.5" customHeight="1" thickBot="1">
      <c r="A79" s="38" t="s">
        <v>14</v>
      </c>
      <c r="B79" s="91">
        <f t="shared" si="1"/>
        <v>94630.42800000001</v>
      </c>
      <c r="C79" s="92">
        <f>C5+C10+C15+C20+C25+C30+C35+C40+C45+C50+C55+C60+C65+C70+C70+C71+C72+C73+C74+C75+C76+C77+C78</f>
        <v>39722.688</v>
      </c>
      <c r="D79" s="92">
        <f>D5+D10+D15+D20+D25+D30+D35+D40+D45+D50+D55+D60+D65+D70+D70+D71+D72+D73+D74+D75+D76+D77+D78</f>
        <v>1046.027</v>
      </c>
      <c r="E79" s="92">
        <f>E5+E10+E15+E20+E25+E30+E35+E40+E45+E50+E55+E60+E65+E70+E71+E72+E73+E74+E75+E76+E77+E78</f>
        <v>21927.387000000002</v>
      </c>
      <c r="F79" s="92">
        <f>F5+F10+F15+F20+F25+F30+F35+F40+F45+F50+F55+F60+F65+F70+F70+F71+F72+F73+F74+F75+F76+F77+F78</f>
        <v>31934.32600000001</v>
      </c>
    </row>
    <row r="80" s="4" customFormat="1" ht="12.75"/>
    <row r="81" s="4" customFormat="1" ht="12.75"/>
    <row r="82" s="4" customFormat="1" ht="12.75"/>
    <row r="83" s="4" customFormat="1" ht="12.75"/>
    <row r="84" s="4" customFormat="1" ht="12.75"/>
    <row r="85" s="4" customFormat="1" ht="12.75"/>
    <row r="86" s="4" customFormat="1" ht="12.75"/>
    <row r="87" s="4" customFormat="1" ht="12.75"/>
    <row r="88" s="4" customFormat="1" ht="12.75"/>
    <row r="89" s="4" customFormat="1" ht="12.75"/>
    <row r="90" s="4" customFormat="1" ht="12.75"/>
    <row r="91" s="4" customFormat="1" ht="12.75"/>
    <row r="92" s="4" customFormat="1" ht="12.75"/>
    <row r="93" s="4" customFormat="1" ht="12.75"/>
    <row r="94" s="4" customFormat="1" ht="12.75"/>
  </sheetData>
  <mergeCells count="2">
    <mergeCell ref="A1:F1"/>
    <mergeCell ref="A2:F2"/>
  </mergeCells>
  <printOptions horizontalCentered="1"/>
  <pageMargins left="0.3937007874015748" right="0.3937007874015748" top="0.7874015748031497" bottom="0.3937007874015748" header="0.5118110236220472" footer="0.5118110236220472"/>
  <pageSetup fitToHeight="1" fitToWidth="1" horizontalDpi="600" verticalDpi="600" orientation="portrait" paperSize="9" scale="4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9"/>
  <sheetViews>
    <sheetView zoomScale="60" zoomScaleNormal="60" workbookViewId="0" topLeftCell="A1">
      <pane xSplit="1" ySplit="4" topLeftCell="B5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80" sqref="E80"/>
    </sheetView>
  </sheetViews>
  <sheetFormatPr defaultColWidth="9.00390625" defaultRowHeight="12.75"/>
  <cols>
    <col min="1" max="1" width="51.00390625" style="0" customWidth="1"/>
    <col min="2" max="6" width="25.25390625" style="0" customWidth="1"/>
  </cols>
  <sheetData>
    <row r="1" spans="1:6" s="54" customFormat="1" ht="47.25" customHeight="1">
      <c r="A1" s="53" t="s">
        <v>45</v>
      </c>
      <c r="B1" s="53"/>
      <c r="C1" s="53"/>
      <c r="D1" s="53"/>
      <c r="E1" s="53"/>
      <c r="F1" s="53"/>
    </row>
    <row r="2" spans="1:6" s="57" customFormat="1" ht="23.25">
      <c r="A2" s="55" t="s">
        <v>54</v>
      </c>
      <c r="B2" s="55"/>
      <c r="C2" s="55"/>
      <c r="D2" s="56"/>
      <c r="E2" s="56"/>
      <c r="F2" s="56"/>
    </row>
    <row r="3" s="58" customFormat="1" ht="18.75" thickBot="1">
      <c r="F3" s="59" t="s">
        <v>46</v>
      </c>
    </row>
    <row r="4" spans="1:6" s="2" customFormat="1" ht="29.25" customHeight="1" thickBot="1">
      <c r="A4" s="61" t="s">
        <v>31</v>
      </c>
      <c r="B4" s="62"/>
      <c r="C4" s="63" t="s">
        <v>0</v>
      </c>
      <c r="D4" s="63" t="s">
        <v>1</v>
      </c>
      <c r="E4" s="63" t="s">
        <v>2</v>
      </c>
      <c r="F4" s="64" t="s">
        <v>3</v>
      </c>
    </row>
    <row r="5" spans="1:6" s="3" customFormat="1" ht="57" customHeight="1">
      <c r="A5" s="65" t="s">
        <v>7</v>
      </c>
      <c r="B5" s="66">
        <f aca="true" t="shared" si="0" ref="B5:B69">C5+D5+E5+F5</f>
        <v>67197.872</v>
      </c>
      <c r="C5" s="67">
        <f>C6+C7</f>
        <v>32179.876</v>
      </c>
      <c r="D5" s="67">
        <f>D6+D7</f>
        <v>873.127</v>
      </c>
      <c r="E5" s="67">
        <f>E6+E7</f>
        <v>14214.682</v>
      </c>
      <c r="F5" s="68">
        <f>F6+F7</f>
        <v>19930.187</v>
      </c>
    </row>
    <row r="6" spans="1:6" s="3" customFormat="1" ht="27" customHeight="1">
      <c r="A6" s="34" t="s">
        <v>25</v>
      </c>
      <c r="B6" s="32">
        <f t="shared" si="0"/>
        <v>53552.45300000001</v>
      </c>
      <c r="C6" s="8">
        <f>32179.876-C7</f>
        <v>31946.462</v>
      </c>
      <c r="D6" s="8">
        <f>873.127-D7</f>
        <v>871.544</v>
      </c>
      <c r="E6" s="8">
        <f>14214.682-E7</f>
        <v>13614.682</v>
      </c>
      <c r="F6" s="9">
        <f>19930.187-F7</f>
        <v>7119.765000000003</v>
      </c>
    </row>
    <row r="7" spans="1:6" s="3" customFormat="1" ht="20.25" customHeight="1">
      <c r="A7" s="34" t="s">
        <v>22</v>
      </c>
      <c r="B7" s="32">
        <f t="shared" si="0"/>
        <v>13645.418999999998</v>
      </c>
      <c r="C7" s="8">
        <f>C8+C9</f>
        <v>233.41400000000002</v>
      </c>
      <c r="D7" s="15">
        <f>D8+D9</f>
        <v>1.583</v>
      </c>
      <c r="E7" s="15">
        <f>E8+E9</f>
        <v>600</v>
      </c>
      <c r="F7" s="16">
        <f>F8+F9</f>
        <v>12810.421999999999</v>
      </c>
    </row>
    <row r="8" spans="1:6" s="3" customFormat="1" ht="21.75" customHeight="1">
      <c r="A8" s="34" t="s">
        <v>23</v>
      </c>
      <c r="B8" s="32">
        <f t="shared" si="0"/>
        <v>4055.1760000000004</v>
      </c>
      <c r="C8" s="11">
        <f>37.766+5.235</f>
        <v>43.001</v>
      </c>
      <c r="D8" s="11"/>
      <c r="E8" s="11">
        <v>91.292</v>
      </c>
      <c r="F8" s="12">
        <f>3907.55+13.333</f>
        <v>3920.8830000000003</v>
      </c>
    </row>
    <row r="9" spans="1:6" s="3" customFormat="1" ht="24.75" customHeight="1">
      <c r="A9" s="34" t="s">
        <v>24</v>
      </c>
      <c r="B9" s="32">
        <f t="shared" si="0"/>
        <v>9590.242999999999</v>
      </c>
      <c r="C9" s="11">
        <v>190.413</v>
      </c>
      <c r="D9" s="11">
        <v>1.583</v>
      </c>
      <c r="E9" s="11">
        <v>508.708</v>
      </c>
      <c r="F9" s="12">
        <f>13426.664-C7-D7-E7-F8+218.755</f>
        <v>8889.538999999999</v>
      </c>
    </row>
    <row r="10" spans="1:6" s="3" customFormat="1" ht="47.25" customHeight="1">
      <c r="A10" s="69" t="s">
        <v>15</v>
      </c>
      <c r="B10" s="32">
        <f t="shared" si="0"/>
        <v>4167.34</v>
      </c>
      <c r="C10" s="15">
        <f>C11+C12</f>
        <v>529.73</v>
      </c>
      <c r="D10" s="15"/>
      <c r="E10" s="15">
        <f>E11+E12</f>
        <v>1437.776</v>
      </c>
      <c r="F10" s="16">
        <f>F11+F12</f>
        <v>2199.834</v>
      </c>
    </row>
    <row r="11" spans="1:6" s="3" customFormat="1" ht="21.75" customHeight="1">
      <c r="A11" s="34" t="s">
        <v>25</v>
      </c>
      <c r="B11" s="32">
        <f t="shared" si="0"/>
        <v>2652.567</v>
      </c>
      <c r="C11" s="8">
        <f>529.73-C12</f>
        <v>487.73</v>
      </c>
      <c r="D11" s="8"/>
      <c r="E11" s="8">
        <f>1437.776-E12</f>
        <v>1116.515</v>
      </c>
      <c r="F11" s="9">
        <f>2199.834-F12</f>
        <v>1048.322</v>
      </c>
    </row>
    <row r="12" spans="1:6" s="3" customFormat="1" ht="19.5" customHeight="1">
      <c r="A12" s="34" t="s">
        <v>22</v>
      </c>
      <c r="B12" s="32">
        <f t="shared" si="0"/>
        <v>1514.773</v>
      </c>
      <c r="C12" s="15">
        <f>C13+C14</f>
        <v>42</v>
      </c>
      <c r="D12" s="8"/>
      <c r="E12" s="15">
        <f>E13+E14</f>
        <v>321.261</v>
      </c>
      <c r="F12" s="16">
        <f>F13+F14</f>
        <v>1151.512</v>
      </c>
    </row>
    <row r="13" spans="1:6" s="3" customFormat="1" ht="17.25" customHeight="1">
      <c r="A13" s="34" t="s">
        <v>23</v>
      </c>
      <c r="B13" s="32">
        <f t="shared" si="0"/>
        <v>876.055</v>
      </c>
      <c r="C13" s="11"/>
      <c r="D13" s="11"/>
      <c r="E13" s="11">
        <v>42</v>
      </c>
      <c r="F13" s="12">
        <v>834.055</v>
      </c>
    </row>
    <row r="14" spans="1:6" s="3" customFormat="1" ht="17.25" customHeight="1">
      <c r="A14" s="34" t="s">
        <v>24</v>
      </c>
      <c r="B14" s="32">
        <f t="shared" si="0"/>
        <v>638.7180000000001</v>
      </c>
      <c r="C14" s="11">
        <v>42</v>
      </c>
      <c r="D14" s="11"/>
      <c r="E14" s="11">
        <v>279.261</v>
      </c>
      <c r="F14" s="12">
        <v>317.457</v>
      </c>
    </row>
    <row r="15" spans="1:6" s="3" customFormat="1" ht="35.25" customHeight="1">
      <c r="A15" s="69" t="s">
        <v>6</v>
      </c>
      <c r="B15" s="32">
        <f t="shared" si="0"/>
        <v>913.367</v>
      </c>
      <c r="C15" s="15">
        <f>C16+C17</f>
        <v>913.367</v>
      </c>
      <c r="D15" s="8"/>
      <c r="E15" s="8"/>
      <c r="F15" s="9"/>
    </row>
    <row r="16" spans="1:6" s="3" customFormat="1" ht="19.5" customHeight="1">
      <c r="A16" s="34" t="s">
        <v>25</v>
      </c>
      <c r="B16" s="32">
        <f t="shared" si="0"/>
        <v>913.367</v>
      </c>
      <c r="C16" s="8">
        <v>913.367</v>
      </c>
      <c r="D16" s="8"/>
      <c r="E16" s="15"/>
      <c r="F16" s="16"/>
    </row>
    <row r="17" spans="1:6" s="3" customFormat="1" ht="18" customHeight="1">
      <c r="A17" s="34" t="s">
        <v>22</v>
      </c>
      <c r="B17" s="32">
        <f t="shared" si="0"/>
        <v>0</v>
      </c>
      <c r="C17" s="8"/>
      <c r="D17" s="8"/>
      <c r="E17" s="15">
        <f>E18+E19</f>
        <v>0</v>
      </c>
      <c r="F17" s="16">
        <f>F18+F19</f>
        <v>0</v>
      </c>
    </row>
    <row r="18" spans="1:6" s="3" customFormat="1" ht="19.5" customHeight="1">
      <c r="A18" s="34" t="s">
        <v>23</v>
      </c>
      <c r="B18" s="32">
        <f t="shared" si="0"/>
        <v>0</v>
      </c>
      <c r="C18" s="11"/>
      <c r="D18" s="11"/>
      <c r="E18" s="11"/>
      <c r="F18" s="12"/>
    </row>
    <row r="19" spans="1:6" s="3" customFormat="1" ht="19.5" customHeight="1">
      <c r="A19" s="34" t="s">
        <v>24</v>
      </c>
      <c r="B19" s="32">
        <f t="shared" si="0"/>
        <v>0</v>
      </c>
      <c r="C19" s="11"/>
      <c r="D19" s="11"/>
      <c r="E19" s="11"/>
      <c r="F19" s="12"/>
    </row>
    <row r="20" spans="1:6" s="3" customFormat="1" ht="51" customHeight="1">
      <c r="A20" s="69" t="s">
        <v>8</v>
      </c>
      <c r="B20" s="32">
        <f t="shared" si="0"/>
        <v>257.784</v>
      </c>
      <c r="C20" s="15">
        <f>C21+C22</f>
        <v>6.806</v>
      </c>
      <c r="D20" s="15">
        <f>D21+D22</f>
        <v>148.601</v>
      </c>
      <c r="E20" s="15">
        <f>E21+E22</f>
        <v>11.773</v>
      </c>
      <c r="F20" s="16">
        <f>F21+F22</f>
        <v>90.604</v>
      </c>
    </row>
    <row r="21" spans="1:6" s="3" customFormat="1" ht="21.75" customHeight="1">
      <c r="A21" s="34" t="s">
        <v>25</v>
      </c>
      <c r="B21" s="32">
        <f t="shared" si="0"/>
        <v>238.704</v>
      </c>
      <c r="C21" s="8">
        <v>6.806</v>
      </c>
      <c r="D21" s="8">
        <v>148.601</v>
      </c>
      <c r="E21" s="8">
        <v>11.773</v>
      </c>
      <c r="F21" s="9">
        <f>90.604-F22</f>
        <v>71.524</v>
      </c>
    </row>
    <row r="22" spans="1:6" s="3" customFormat="1" ht="21" customHeight="1">
      <c r="A22" s="34" t="s">
        <v>22</v>
      </c>
      <c r="B22" s="32">
        <f t="shared" si="0"/>
        <v>19.08</v>
      </c>
      <c r="C22" s="8"/>
      <c r="D22" s="8"/>
      <c r="E22" s="15">
        <f>E23+E24</f>
        <v>0</v>
      </c>
      <c r="F22" s="16">
        <f>F23+F24</f>
        <v>19.08</v>
      </c>
    </row>
    <row r="23" spans="1:6" s="3" customFormat="1" ht="21.75" customHeight="1">
      <c r="A23" s="34" t="s">
        <v>23</v>
      </c>
      <c r="B23" s="32">
        <f t="shared" si="0"/>
        <v>19.08</v>
      </c>
      <c r="C23" s="11"/>
      <c r="D23" s="11"/>
      <c r="E23" s="11"/>
      <c r="F23" s="12">
        <v>19.08</v>
      </c>
    </row>
    <row r="24" spans="1:6" s="3" customFormat="1" ht="21" customHeight="1">
      <c r="A24" s="34" t="s">
        <v>24</v>
      </c>
      <c r="B24" s="32">
        <f t="shared" si="0"/>
        <v>0</v>
      </c>
      <c r="C24" s="11"/>
      <c r="D24" s="11"/>
      <c r="E24" s="11"/>
      <c r="F24" s="12"/>
    </row>
    <row r="25" spans="1:6" s="3" customFormat="1" ht="41.25" customHeight="1">
      <c r="A25" s="69" t="s">
        <v>9</v>
      </c>
      <c r="B25" s="32">
        <f t="shared" si="0"/>
        <v>9805.578000000001</v>
      </c>
      <c r="C25" s="15">
        <f>C26+C27</f>
        <v>4980.2</v>
      </c>
      <c r="D25" s="15"/>
      <c r="E25" s="15">
        <f>E26+E27</f>
        <v>1443.578</v>
      </c>
      <c r="F25" s="16">
        <f>F26+F27</f>
        <v>3381.8</v>
      </c>
    </row>
    <row r="26" spans="1:6" s="3" customFormat="1" ht="19.5" customHeight="1">
      <c r="A26" s="34" t="s">
        <v>25</v>
      </c>
      <c r="B26" s="32">
        <f t="shared" si="0"/>
        <v>7612.685</v>
      </c>
      <c r="C26" s="8">
        <v>4980.2</v>
      </c>
      <c r="D26" s="8"/>
      <c r="E26" s="15">
        <v>1443.578</v>
      </c>
      <c r="F26" s="16">
        <f>3381.8-F27</f>
        <v>1188.9070000000002</v>
      </c>
    </row>
    <row r="27" spans="1:6" s="3" customFormat="1" ht="24.75" customHeight="1">
      <c r="A27" s="34" t="s">
        <v>22</v>
      </c>
      <c r="B27" s="32">
        <f t="shared" si="0"/>
        <v>2192.893</v>
      </c>
      <c r="C27" s="8"/>
      <c r="D27" s="8"/>
      <c r="E27" s="15">
        <f>E28+E29</f>
        <v>0</v>
      </c>
      <c r="F27" s="16">
        <f>F28+F29</f>
        <v>2192.893</v>
      </c>
    </row>
    <row r="28" spans="1:6" s="3" customFormat="1" ht="25.5" customHeight="1">
      <c r="A28" s="34" t="s">
        <v>23</v>
      </c>
      <c r="B28" s="32">
        <f t="shared" si="0"/>
        <v>2169.893</v>
      </c>
      <c r="C28" s="11"/>
      <c r="D28" s="11"/>
      <c r="E28" s="11"/>
      <c r="F28" s="12">
        <f>2192.893-F29</f>
        <v>2169.893</v>
      </c>
    </row>
    <row r="29" spans="1:6" s="3" customFormat="1" ht="20.25" customHeight="1">
      <c r="A29" s="34" t="s">
        <v>24</v>
      </c>
      <c r="B29" s="32">
        <f t="shared" si="0"/>
        <v>23</v>
      </c>
      <c r="C29" s="11"/>
      <c r="D29" s="11"/>
      <c r="E29" s="11"/>
      <c r="F29" s="12">
        <v>23</v>
      </c>
    </row>
    <row r="30" spans="1:6" s="3" customFormat="1" ht="50.25" customHeight="1">
      <c r="A30" s="69" t="s">
        <v>10</v>
      </c>
      <c r="B30" s="32">
        <f t="shared" si="0"/>
        <v>82.974</v>
      </c>
      <c r="C30" s="15"/>
      <c r="D30" s="15"/>
      <c r="E30" s="15">
        <f>E31+E32</f>
        <v>55.034</v>
      </c>
      <c r="F30" s="16">
        <f>F31+F32</f>
        <v>27.94</v>
      </c>
    </row>
    <row r="31" spans="1:6" s="3" customFormat="1" ht="22.5" customHeight="1">
      <c r="A31" s="34" t="s">
        <v>25</v>
      </c>
      <c r="B31" s="32">
        <f t="shared" si="0"/>
        <v>66.378</v>
      </c>
      <c r="C31" s="8"/>
      <c r="D31" s="8"/>
      <c r="E31" s="15">
        <v>55.034</v>
      </c>
      <c r="F31" s="16">
        <f>27.94-F32</f>
        <v>11.344000000000001</v>
      </c>
    </row>
    <row r="32" spans="1:6" s="3" customFormat="1" ht="24.75" customHeight="1">
      <c r="A32" s="34" t="s">
        <v>22</v>
      </c>
      <c r="B32" s="32">
        <f t="shared" si="0"/>
        <v>16.596</v>
      </c>
      <c r="C32" s="8"/>
      <c r="D32" s="8"/>
      <c r="E32" s="15">
        <f>E33+E34</f>
        <v>0</v>
      </c>
      <c r="F32" s="16">
        <f>F33+F34</f>
        <v>16.596</v>
      </c>
    </row>
    <row r="33" spans="1:6" s="3" customFormat="1" ht="18" customHeight="1">
      <c r="A33" s="34" t="s">
        <v>23</v>
      </c>
      <c r="B33" s="32">
        <f t="shared" si="0"/>
        <v>13.751</v>
      </c>
      <c r="C33" s="11"/>
      <c r="D33" s="11"/>
      <c r="E33" s="11"/>
      <c r="F33" s="12">
        <v>13.751</v>
      </c>
    </row>
    <row r="34" spans="1:6" s="3" customFormat="1" ht="18" customHeight="1">
      <c r="A34" s="34" t="s">
        <v>24</v>
      </c>
      <c r="B34" s="32">
        <f t="shared" si="0"/>
        <v>2.845</v>
      </c>
      <c r="C34" s="11"/>
      <c r="D34" s="11"/>
      <c r="E34" s="11"/>
      <c r="F34" s="12">
        <v>2.845</v>
      </c>
    </row>
    <row r="35" spans="1:6" s="3" customFormat="1" ht="25.5" customHeight="1">
      <c r="A35" s="69" t="s">
        <v>40</v>
      </c>
      <c r="B35" s="32">
        <f t="shared" si="0"/>
        <v>0</v>
      </c>
      <c r="C35" s="21"/>
      <c r="D35" s="21"/>
      <c r="E35" s="15">
        <f>E36+E37</f>
        <v>0</v>
      </c>
      <c r="F35" s="16">
        <f>F36+F37</f>
        <v>0</v>
      </c>
    </row>
    <row r="36" spans="1:6" s="3" customFormat="1" ht="23.25" customHeight="1">
      <c r="A36" s="34" t="s">
        <v>25</v>
      </c>
      <c r="B36" s="32">
        <f t="shared" si="0"/>
        <v>0</v>
      </c>
      <c r="C36" s="8"/>
      <c r="D36" s="8"/>
      <c r="E36" s="8"/>
      <c r="F36" s="9"/>
    </row>
    <row r="37" spans="1:6" s="3" customFormat="1" ht="23.25" customHeight="1">
      <c r="A37" s="34" t="s">
        <v>22</v>
      </c>
      <c r="B37" s="32">
        <f t="shared" si="0"/>
        <v>0</v>
      </c>
      <c r="C37" s="8"/>
      <c r="D37" s="8"/>
      <c r="E37" s="15">
        <f>E38+E39</f>
        <v>0</v>
      </c>
      <c r="F37" s="16">
        <f>F38+F39</f>
        <v>0</v>
      </c>
    </row>
    <row r="38" spans="1:6" s="3" customFormat="1" ht="23.25" customHeight="1">
      <c r="A38" s="34" t="s">
        <v>23</v>
      </c>
      <c r="B38" s="32">
        <f t="shared" si="0"/>
        <v>0</v>
      </c>
      <c r="C38" s="21"/>
      <c r="D38" s="21"/>
      <c r="E38" s="21"/>
      <c r="F38" s="25"/>
    </row>
    <row r="39" spans="1:6" s="3" customFormat="1" ht="23.25" customHeight="1">
      <c r="A39" s="34" t="s">
        <v>24</v>
      </c>
      <c r="B39" s="32">
        <f t="shared" si="0"/>
        <v>0</v>
      </c>
      <c r="C39" s="21"/>
      <c r="D39" s="21"/>
      <c r="E39" s="21"/>
      <c r="F39" s="25"/>
    </row>
    <row r="40" spans="1:6" s="3" customFormat="1" ht="42" customHeight="1">
      <c r="A40" s="69" t="s">
        <v>41</v>
      </c>
      <c r="B40" s="32">
        <f t="shared" si="0"/>
        <v>0</v>
      </c>
      <c r="C40" s="21"/>
      <c r="D40" s="21"/>
      <c r="E40" s="15">
        <f>E41+E42</f>
        <v>0</v>
      </c>
      <c r="F40" s="16">
        <f>F41+F42</f>
        <v>0</v>
      </c>
    </row>
    <row r="41" spans="1:6" s="3" customFormat="1" ht="19.5" customHeight="1">
      <c r="A41" s="34" t="s">
        <v>25</v>
      </c>
      <c r="B41" s="32">
        <f t="shared" si="0"/>
        <v>0</v>
      </c>
      <c r="C41" s="8"/>
      <c r="D41" s="8"/>
      <c r="E41" s="8"/>
      <c r="F41" s="9"/>
    </row>
    <row r="42" spans="1:6" s="3" customFormat="1" ht="19.5" customHeight="1">
      <c r="A42" s="34" t="s">
        <v>22</v>
      </c>
      <c r="B42" s="32">
        <f t="shared" si="0"/>
        <v>0</v>
      </c>
      <c r="C42" s="8"/>
      <c r="D42" s="8"/>
      <c r="E42" s="15">
        <f>E43+E44</f>
        <v>0</v>
      </c>
      <c r="F42" s="16">
        <f>F43+F44</f>
        <v>0</v>
      </c>
    </row>
    <row r="43" spans="1:6" s="3" customFormat="1" ht="19.5" customHeight="1">
      <c r="A43" s="34" t="s">
        <v>23</v>
      </c>
      <c r="B43" s="32">
        <f t="shared" si="0"/>
        <v>0</v>
      </c>
      <c r="C43" s="21"/>
      <c r="D43" s="21"/>
      <c r="E43" s="21"/>
      <c r="F43" s="25"/>
    </row>
    <row r="44" spans="1:6" s="3" customFormat="1" ht="19.5" customHeight="1">
      <c r="A44" s="34" t="s">
        <v>24</v>
      </c>
      <c r="B44" s="32">
        <f t="shared" si="0"/>
        <v>0</v>
      </c>
      <c r="C44" s="21"/>
      <c r="D44" s="21"/>
      <c r="E44" s="21"/>
      <c r="F44" s="25"/>
    </row>
    <row r="45" spans="1:6" s="3" customFormat="1" ht="24.75" customHeight="1">
      <c r="A45" s="69" t="s">
        <v>11</v>
      </c>
      <c r="B45" s="32">
        <f t="shared" si="0"/>
        <v>1980.033</v>
      </c>
      <c r="C45" s="15">
        <f>C46+C47</f>
        <v>0</v>
      </c>
      <c r="D45" s="8"/>
      <c r="E45" s="15">
        <f>E46+E47</f>
        <v>1519.177</v>
      </c>
      <c r="F45" s="16">
        <f>F46+F47</f>
        <v>460.856</v>
      </c>
    </row>
    <row r="46" spans="1:6" s="3" customFormat="1" ht="24.75" customHeight="1">
      <c r="A46" s="34" t="s">
        <v>25</v>
      </c>
      <c r="B46" s="32">
        <f t="shared" si="0"/>
        <v>1611.112</v>
      </c>
      <c r="C46" s="8"/>
      <c r="D46" s="8"/>
      <c r="E46" s="15">
        <f>1519.177-E47</f>
        <v>1511.529</v>
      </c>
      <c r="F46" s="16">
        <f>460.856-F47</f>
        <v>99.58299999999997</v>
      </c>
    </row>
    <row r="47" spans="1:6" s="3" customFormat="1" ht="24.75" customHeight="1">
      <c r="A47" s="34" t="s">
        <v>22</v>
      </c>
      <c r="B47" s="32">
        <f t="shared" si="0"/>
        <v>368.92100000000005</v>
      </c>
      <c r="C47" s="8"/>
      <c r="D47" s="8"/>
      <c r="E47" s="15">
        <f>E48+E49</f>
        <v>7.648</v>
      </c>
      <c r="F47" s="16">
        <f>F48+F49</f>
        <v>361.273</v>
      </c>
    </row>
    <row r="48" spans="1:6" s="3" customFormat="1" ht="24.75" customHeight="1">
      <c r="A48" s="34" t="s">
        <v>23</v>
      </c>
      <c r="B48" s="32">
        <f t="shared" si="0"/>
        <v>289.452</v>
      </c>
      <c r="C48" s="8"/>
      <c r="D48" s="8"/>
      <c r="E48" s="11">
        <v>6.34</v>
      </c>
      <c r="F48" s="12">
        <v>283.112</v>
      </c>
    </row>
    <row r="49" spans="1:6" s="3" customFormat="1" ht="24.75" customHeight="1">
      <c r="A49" s="34" t="s">
        <v>24</v>
      </c>
      <c r="B49" s="32">
        <f t="shared" si="0"/>
        <v>79.46900000000001</v>
      </c>
      <c r="C49" s="8"/>
      <c r="D49" s="8"/>
      <c r="E49" s="11">
        <v>1.308</v>
      </c>
      <c r="F49" s="12">
        <v>78.161</v>
      </c>
    </row>
    <row r="50" spans="1:6" s="3" customFormat="1" ht="24.75" customHeight="1">
      <c r="A50" s="69" t="s">
        <v>5</v>
      </c>
      <c r="B50" s="32">
        <f t="shared" si="0"/>
        <v>1599.116</v>
      </c>
      <c r="C50" s="15">
        <f>C51+C52</f>
        <v>335.639</v>
      </c>
      <c r="D50" s="8"/>
      <c r="E50" s="15">
        <f>E51+E52</f>
        <v>662.801</v>
      </c>
      <c r="F50" s="16">
        <f>F51+F52</f>
        <v>600.676</v>
      </c>
    </row>
    <row r="51" spans="1:6" s="3" customFormat="1" ht="24.75" customHeight="1">
      <c r="A51" s="34" t="s">
        <v>25</v>
      </c>
      <c r="B51" s="32">
        <f t="shared" si="0"/>
        <v>756.5490000000002</v>
      </c>
      <c r="C51" s="15">
        <v>335.639</v>
      </c>
      <c r="D51" s="8"/>
      <c r="E51" s="15">
        <f>662.801-E52</f>
        <v>240.04000000000002</v>
      </c>
      <c r="F51" s="16">
        <f>600.676-F52</f>
        <v>180.87000000000006</v>
      </c>
    </row>
    <row r="52" spans="1:6" s="3" customFormat="1" ht="24.75" customHeight="1">
      <c r="A52" s="34" t="s">
        <v>22</v>
      </c>
      <c r="B52" s="32">
        <f t="shared" si="0"/>
        <v>842.567</v>
      </c>
      <c r="C52" s="8"/>
      <c r="D52" s="8"/>
      <c r="E52" s="15">
        <f>E53+E54</f>
        <v>422.761</v>
      </c>
      <c r="F52" s="16">
        <f>F53+F54</f>
        <v>419.806</v>
      </c>
    </row>
    <row r="53" spans="1:6" s="3" customFormat="1" ht="24.75" customHeight="1">
      <c r="A53" s="34" t="s">
        <v>23</v>
      </c>
      <c r="B53" s="32">
        <f t="shared" si="0"/>
        <v>842.567</v>
      </c>
      <c r="C53" s="11"/>
      <c r="D53" s="11"/>
      <c r="E53" s="11">
        <v>422.761</v>
      </c>
      <c r="F53" s="12">
        <v>419.806</v>
      </c>
    </row>
    <row r="54" spans="1:6" s="3" customFormat="1" ht="24.75" customHeight="1">
      <c r="A54" s="34" t="s">
        <v>24</v>
      </c>
      <c r="B54" s="32">
        <f t="shared" si="0"/>
        <v>0</v>
      </c>
      <c r="C54" s="11"/>
      <c r="D54" s="11"/>
      <c r="E54" s="11"/>
      <c r="F54" s="12"/>
    </row>
    <row r="55" spans="1:6" s="3" customFormat="1" ht="50.25" customHeight="1">
      <c r="A55" s="69" t="s">
        <v>12</v>
      </c>
      <c r="B55" s="32">
        <f t="shared" si="0"/>
        <v>4619.169</v>
      </c>
      <c r="C55" s="15"/>
      <c r="D55" s="8"/>
      <c r="E55" s="15">
        <f>E56+E57</f>
        <v>1110.205</v>
      </c>
      <c r="F55" s="16">
        <f>F56+F57</f>
        <v>3508.964</v>
      </c>
    </row>
    <row r="56" spans="1:6" s="3" customFormat="1" ht="26.25" customHeight="1">
      <c r="A56" s="34" t="s">
        <v>25</v>
      </c>
      <c r="B56" s="32">
        <f t="shared" si="0"/>
        <v>2252.867</v>
      </c>
      <c r="C56" s="8"/>
      <c r="D56" s="8"/>
      <c r="E56" s="15">
        <f>1110.205-E57</f>
        <v>1031.3999999999999</v>
      </c>
      <c r="F56" s="16">
        <f>3508.964-F57</f>
        <v>1221.467</v>
      </c>
    </row>
    <row r="57" spans="1:6" s="3" customFormat="1" ht="26.25" customHeight="1">
      <c r="A57" s="34" t="s">
        <v>22</v>
      </c>
      <c r="B57" s="32">
        <f t="shared" si="0"/>
        <v>2366.3019999999997</v>
      </c>
      <c r="C57" s="8"/>
      <c r="D57" s="8"/>
      <c r="E57" s="15">
        <f>E58+E59</f>
        <v>78.805</v>
      </c>
      <c r="F57" s="16">
        <f>F58+F59</f>
        <v>2287.497</v>
      </c>
    </row>
    <row r="58" spans="1:6" s="3" customFormat="1" ht="26.25" customHeight="1">
      <c r="A58" s="34" t="s">
        <v>23</v>
      </c>
      <c r="B58" s="32">
        <f t="shared" si="0"/>
        <v>617.141</v>
      </c>
      <c r="C58" s="10"/>
      <c r="D58" s="8"/>
      <c r="E58" s="11">
        <v>22.117</v>
      </c>
      <c r="F58" s="12">
        <v>595.024</v>
      </c>
    </row>
    <row r="59" spans="1:6" s="3" customFormat="1" ht="26.25" customHeight="1">
      <c r="A59" s="34" t="s">
        <v>24</v>
      </c>
      <c r="B59" s="32">
        <f t="shared" si="0"/>
        <v>1749.161</v>
      </c>
      <c r="C59" s="10"/>
      <c r="D59" s="8"/>
      <c r="E59" s="11">
        <v>56.688</v>
      </c>
      <c r="F59" s="12">
        <v>1692.473</v>
      </c>
    </row>
    <row r="60" spans="1:6" s="3" customFormat="1" ht="24.75" customHeight="1">
      <c r="A60" s="70" t="s">
        <v>13</v>
      </c>
      <c r="B60" s="32">
        <f t="shared" si="0"/>
        <v>155.337</v>
      </c>
      <c r="C60" s="10"/>
      <c r="D60" s="8"/>
      <c r="E60" s="15">
        <f>E61+E62</f>
        <v>84.294</v>
      </c>
      <c r="F60" s="16">
        <f>F61+F62</f>
        <v>71.043</v>
      </c>
    </row>
    <row r="61" spans="1:6" s="3" customFormat="1" ht="21.75" customHeight="1">
      <c r="A61" s="34" t="s">
        <v>25</v>
      </c>
      <c r="B61" s="32">
        <f t="shared" si="0"/>
        <v>155.337</v>
      </c>
      <c r="C61" s="8"/>
      <c r="D61" s="8"/>
      <c r="E61" s="15">
        <v>84.294</v>
      </c>
      <c r="F61" s="16">
        <v>71.043</v>
      </c>
    </row>
    <row r="62" spans="1:6" s="3" customFormat="1" ht="16.5" customHeight="1">
      <c r="A62" s="34" t="s">
        <v>22</v>
      </c>
      <c r="B62" s="32">
        <f t="shared" si="0"/>
        <v>0</v>
      </c>
      <c r="C62" s="8"/>
      <c r="D62" s="8"/>
      <c r="E62" s="15">
        <f>E63+E64</f>
        <v>0</v>
      </c>
      <c r="F62" s="16">
        <f>F63+F64</f>
        <v>0</v>
      </c>
    </row>
    <row r="63" spans="1:6" s="3" customFormat="1" ht="18" customHeight="1">
      <c r="A63" s="34" t="s">
        <v>23</v>
      </c>
      <c r="B63" s="32">
        <f t="shared" si="0"/>
        <v>0</v>
      </c>
      <c r="C63" s="10"/>
      <c r="D63" s="8"/>
      <c r="E63" s="10"/>
      <c r="F63" s="17"/>
    </row>
    <row r="64" spans="1:6" s="3" customFormat="1" ht="18" customHeight="1">
      <c r="A64" s="34" t="s">
        <v>24</v>
      </c>
      <c r="B64" s="32">
        <f t="shared" si="0"/>
        <v>0</v>
      </c>
      <c r="C64" s="10"/>
      <c r="D64" s="8"/>
      <c r="E64" s="10"/>
      <c r="F64" s="17"/>
    </row>
    <row r="65" spans="1:6" s="3" customFormat="1" ht="24.75" customHeight="1">
      <c r="A65" s="70" t="s">
        <v>4</v>
      </c>
      <c r="B65" s="32">
        <f t="shared" si="0"/>
        <v>585.43</v>
      </c>
      <c r="C65" s="15">
        <f>C66+C67</f>
        <v>585.43</v>
      </c>
      <c r="D65" s="8"/>
      <c r="E65" s="8"/>
      <c r="F65" s="9"/>
    </row>
    <row r="66" spans="1:6" s="3" customFormat="1" ht="21.75" customHeight="1">
      <c r="A66" s="34" t="s">
        <v>25</v>
      </c>
      <c r="B66" s="32">
        <f t="shared" si="0"/>
        <v>585.43</v>
      </c>
      <c r="C66" s="15">
        <v>585.43</v>
      </c>
      <c r="D66" s="8"/>
      <c r="E66" s="15">
        <f>E65-E67</f>
        <v>0</v>
      </c>
      <c r="F66" s="16">
        <f>F65-F67</f>
        <v>0</v>
      </c>
    </row>
    <row r="67" spans="1:6" s="3" customFormat="1" ht="18" customHeight="1">
      <c r="A67" s="34" t="s">
        <v>22</v>
      </c>
      <c r="B67" s="32">
        <f t="shared" si="0"/>
        <v>0</v>
      </c>
      <c r="C67" s="15">
        <f>C68+C69</f>
        <v>0</v>
      </c>
      <c r="D67" s="8"/>
      <c r="E67" s="15">
        <f>E68+E69</f>
        <v>0</v>
      </c>
      <c r="F67" s="16">
        <f>F68+F69</f>
        <v>0</v>
      </c>
    </row>
    <row r="68" spans="1:6" s="3" customFormat="1" ht="19.5" customHeight="1">
      <c r="A68" s="34" t="s">
        <v>23</v>
      </c>
      <c r="B68" s="32">
        <f t="shared" si="0"/>
        <v>0</v>
      </c>
      <c r="C68" s="11"/>
      <c r="D68" s="8"/>
      <c r="E68" s="8"/>
      <c r="F68" s="9"/>
    </row>
    <row r="69" spans="1:6" s="3" customFormat="1" ht="19.5" customHeight="1" thickBot="1">
      <c r="A69" s="35" t="s">
        <v>24</v>
      </c>
      <c r="B69" s="33">
        <f t="shared" si="0"/>
        <v>0</v>
      </c>
      <c r="C69" s="14"/>
      <c r="D69" s="13"/>
      <c r="E69" s="13"/>
      <c r="F69" s="18"/>
    </row>
    <row r="70" spans="1:6" s="81" customFormat="1" ht="24" customHeight="1">
      <c r="A70" s="105" t="s">
        <v>34</v>
      </c>
      <c r="B70" s="72">
        <f>C70+D70+E70+F70</f>
        <v>157.048</v>
      </c>
      <c r="C70" s="40"/>
      <c r="D70" s="40"/>
      <c r="E70" s="41">
        <v>157.048</v>
      </c>
      <c r="F70" s="42"/>
    </row>
    <row r="71" spans="1:6" s="81" customFormat="1" ht="24" customHeight="1">
      <c r="A71" s="39" t="s">
        <v>35</v>
      </c>
      <c r="B71" s="6">
        <f aca="true" t="shared" si="1" ref="B71:B79">C71+D71+E71+F71</f>
        <v>16.004</v>
      </c>
      <c r="C71" s="8"/>
      <c r="D71" s="8"/>
      <c r="E71" s="11">
        <v>16.004</v>
      </c>
      <c r="F71" s="9"/>
    </row>
    <row r="72" spans="1:6" s="81" customFormat="1" ht="24" customHeight="1">
      <c r="A72" s="39" t="s">
        <v>42</v>
      </c>
      <c r="B72" s="6">
        <f t="shared" si="1"/>
        <v>478.009</v>
      </c>
      <c r="C72" s="8"/>
      <c r="D72" s="8"/>
      <c r="E72" s="11">
        <v>425.18</v>
      </c>
      <c r="F72" s="12">
        <v>52.829</v>
      </c>
    </row>
    <row r="73" spans="1:6" s="81" customFormat="1" ht="39" customHeight="1">
      <c r="A73" s="48" t="s">
        <v>43</v>
      </c>
      <c r="B73" s="6">
        <f t="shared" si="1"/>
        <v>1295.75</v>
      </c>
      <c r="C73" s="75">
        <v>1287.8</v>
      </c>
      <c r="D73" s="75"/>
      <c r="E73" s="75"/>
      <c r="F73" s="76">
        <v>7.95</v>
      </c>
    </row>
    <row r="74" spans="1:6" s="81" customFormat="1" ht="24" customHeight="1">
      <c r="A74" s="39" t="s">
        <v>36</v>
      </c>
      <c r="B74" s="6">
        <f t="shared" si="1"/>
        <v>561.492</v>
      </c>
      <c r="C74" s="10">
        <v>391.805</v>
      </c>
      <c r="D74" s="10"/>
      <c r="E74" s="10">
        <v>137.032</v>
      </c>
      <c r="F74" s="17">
        <v>32.655</v>
      </c>
    </row>
    <row r="75" spans="1:6" s="81" customFormat="1" ht="24" customHeight="1">
      <c r="A75" s="39" t="s">
        <v>44</v>
      </c>
      <c r="B75" s="6">
        <f t="shared" si="1"/>
        <v>0</v>
      </c>
      <c r="C75" s="8"/>
      <c r="D75" s="8"/>
      <c r="E75" s="8"/>
      <c r="F75" s="9"/>
    </row>
    <row r="76" spans="1:6" s="81" customFormat="1" ht="40.5" customHeight="1">
      <c r="A76" s="48" t="s">
        <v>37</v>
      </c>
      <c r="B76" s="79">
        <f t="shared" si="1"/>
        <v>0</v>
      </c>
      <c r="C76" s="46"/>
      <c r="D76" s="46"/>
      <c r="E76" s="46"/>
      <c r="F76" s="47"/>
    </row>
    <row r="77" spans="1:6" s="81" customFormat="1" ht="48.75" customHeight="1">
      <c r="A77" s="80" t="s">
        <v>38</v>
      </c>
      <c r="B77" s="79">
        <f t="shared" si="1"/>
        <v>0</v>
      </c>
      <c r="C77" s="46"/>
      <c r="D77" s="46"/>
      <c r="E77" s="46"/>
      <c r="F77" s="47"/>
    </row>
    <row r="78" spans="1:6" s="81" customFormat="1" ht="48" customHeight="1" thickBot="1">
      <c r="A78" s="82" t="s">
        <v>39</v>
      </c>
      <c r="B78" s="83">
        <f t="shared" si="1"/>
        <v>0</v>
      </c>
      <c r="C78" s="84"/>
      <c r="D78" s="84"/>
      <c r="E78" s="84"/>
      <c r="F78" s="85"/>
    </row>
    <row r="79" spans="1:6" s="4" customFormat="1" ht="33.75" customHeight="1" thickBot="1">
      <c r="A79" s="38" t="s">
        <v>14</v>
      </c>
      <c r="B79" s="91">
        <f t="shared" si="1"/>
        <v>93872.303</v>
      </c>
      <c r="C79" s="92">
        <f>C5+C10+C15+C20+C25+C30+C35+C40+C45+C50+C55+C60+C65+C70+C70+C71+C72+C73+C74+C75+C76+C77+C78</f>
        <v>41210.653</v>
      </c>
      <c r="D79" s="92">
        <f>D5+D10+D15+D20+D25+D30+D35+D40+D45+D50+D55+D60+D65+D70+D70+D71+D72+D73+D74+D75+D76+D77+D78</f>
        <v>1021.728</v>
      </c>
      <c r="E79" s="92">
        <f>E5+E10+E15+E20+E25+E30+E35+E40+E45+E50+E55+E60+E65+E70+E71+E72+E73+E74+E75+E76+E77+E78</f>
        <v>21274.584</v>
      </c>
      <c r="F79" s="92">
        <f>F5+F10+F15+F20+F25+F30+F35+F40+F45+F50+F55+F60+F65+F70+F70+F71+F72+F73+F74+F75+F76+F77+F78</f>
        <v>30365.338</v>
      </c>
    </row>
    <row r="80" s="4" customFormat="1" ht="12.75"/>
    <row r="81" s="4" customFormat="1" ht="12.75"/>
    <row r="82" s="4" customFormat="1" ht="12.75"/>
    <row r="83" s="4" customFormat="1" ht="12.75"/>
    <row r="84" s="4" customFormat="1" ht="12.75"/>
  </sheetData>
  <mergeCells count="2">
    <mergeCell ref="A1:F1"/>
    <mergeCell ref="A2:F2"/>
  </mergeCells>
  <printOptions horizontalCentered="1"/>
  <pageMargins left="0.3937007874015748" right="0.3937007874015748" top="0.7874015748031497" bottom="0.3937007874015748" header="0.5118110236220472" footer="0.5118110236220472"/>
  <pageSetup fitToHeight="1" fitToWidth="1" horizontalDpi="600" verticalDpi="600" orientation="portrait" paperSize="9" scale="4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9"/>
  <sheetViews>
    <sheetView zoomScale="60" zoomScaleNormal="60" workbookViewId="0" topLeftCell="A1">
      <pane xSplit="1" ySplit="4" topLeftCell="B4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80" sqref="E80"/>
    </sheetView>
  </sheetViews>
  <sheetFormatPr defaultColWidth="9.00390625" defaultRowHeight="12.75"/>
  <cols>
    <col min="1" max="1" width="51.00390625" style="0" customWidth="1"/>
    <col min="2" max="6" width="25.25390625" style="0" customWidth="1"/>
  </cols>
  <sheetData>
    <row r="1" spans="1:6" s="54" customFormat="1" ht="47.25" customHeight="1">
      <c r="A1" s="53" t="s">
        <v>45</v>
      </c>
      <c r="B1" s="53"/>
      <c r="C1" s="53"/>
      <c r="D1" s="53"/>
      <c r="E1" s="53"/>
      <c r="F1" s="53"/>
    </row>
    <row r="2" spans="1:6" s="57" customFormat="1" ht="23.25">
      <c r="A2" s="55" t="s">
        <v>53</v>
      </c>
      <c r="B2" s="55"/>
      <c r="C2" s="55"/>
      <c r="D2" s="56"/>
      <c r="E2" s="56"/>
      <c r="F2" s="56"/>
    </row>
    <row r="3" s="58" customFormat="1" ht="18.75" thickBot="1">
      <c r="F3" s="59" t="s">
        <v>46</v>
      </c>
    </row>
    <row r="4" spans="1:6" s="2" customFormat="1" ht="29.25" customHeight="1" thickBot="1">
      <c r="A4" s="61" t="s">
        <v>32</v>
      </c>
      <c r="B4" s="62"/>
      <c r="C4" s="63" t="s">
        <v>0</v>
      </c>
      <c r="D4" s="63" t="s">
        <v>1</v>
      </c>
      <c r="E4" s="63" t="s">
        <v>2</v>
      </c>
      <c r="F4" s="64" t="s">
        <v>3</v>
      </c>
    </row>
    <row r="5" spans="1:6" s="3" customFormat="1" ht="57" customHeight="1">
      <c r="A5" s="65" t="s">
        <v>7</v>
      </c>
      <c r="B5" s="66">
        <f aca="true" t="shared" si="0" ref="B5:B69">C5+D5+E5+F5</f>
        <v>71690.166</v>
      </c>
      <c r="C5" s="67">
        <f>C6+C7</f>
        <v>34252.902</v>
      </c>
      <c r="D5" s="67">
        <f>D6+D7</f>
        <v>929.565</v>
      </c>
      <c r="E5" s="67">
        <f>E6+E7</f>
        <v>15485.267</v>
      </c>
      <c r="F5" s="68">
        <f>F6+F7</f>
        <v>21022.432</v>
      </c>
    </row>
    <row r="6" spans="1:6" s="3" customFormat="1" ht="27" customHeight="1">
      <c r="A6" s="34" t="s">
        <v>25</v>
      </c>
      <c r="B6" s="32">
        <f t="shared" si="0"/>
        <v>57406.809</v>
      </c>
      <c r="C6" s="8">
        <f>34252.902-C7</f>
        <v>34019.01</v>
      </c>
      <c r="D6" s="8">
        <f>929.565-D7</f>
        <v>927.9820000000001</v>
      </c>
      <c r="E6" s="8">
        <f>15485.267-E7</f>
        <v>14885.27</v>
      </c>
      <c r="F6" s="9">
        <f>21022.432-F7</f>
        <v>7574.5470000000005</v>
      </c>
    </row>
    <row r="7" spans="1:6" s="3" customFormat="1" ht="20.25" customHeight="1">
      <c r="A7" s="34" t="s">
        <v>22</v>
      </c>
      <c r="B7" s="32">
        <f t="shared" si="0"/>
        <v>14283.357</v>
      </c>
      <c r="C7" s="8">
        <f>C8+C9</f>
        <v>233.892</v>
      </c>
      <c r="D7" s="15">
        <f>D8+D9</f>
        <v>1.583</v>
      </c>
      <c r="E7" s="15">
        <f>E8+E9</f>
        <v>599.997</v>
      </c>
      <c r="F7" s="16">
        <f>F8+F9</f>
        <v>13447.885</v>
      </c>
    </row>
    <row r="8" spans="1:6" s="3" customFormat="1" ht="21.75" customHeight="1">
      <c r="A8" s="34" t="s">
        <v>23</v>
      </c>
      <c r="B8" s="32">
        <f t="shared" si="0"/>
        <v>4043.936</v>
      </c>
      <c r="C8" s="11">
        <f>37.766+5.235</f>
        <v>43.001</v>
      </c>
      <c r="D8" s="11"/>
      <c r="E8" s="11">
        <v>91.273</v>
      </c>
      <c r="F8" s="12">
        <f>3896.329+13.333</f>
        <v>3909.6620000000003</v>
      </c>
    </row>
    <row r="9" spans="1:6" s="3" customFormat="1" ht="24.75" customHeight="1">
      <c r="A9" s="34" t="s">
        <v>24</v>
      </c>
      <c r="B9" s="32">
        <f t="shared" si="0"/>
        <v>10239.421</v>
      </c>
      <c r="C9" s="11">
        <v>190.891</v>
      </c>
      <c r="D9" s="11">
        <v>1.583</v>
      </c>
      <c r="E9" s="11">
        <v>508.724</v>
      </c>
      <c r="F9" s="12">
        <f>14190.279-C7-D7-E7-F8+93.078</f>
        <v>9538.223</v>
      </c>
    </row>
    <row r="10" spans="1:6" s="3" customFormat="1" ht="47.25" customHeight="1">
      <c r="A10" s="69" t="s">
        <v>15</v>
      </c>
      <c r="B10" s="32">
        <f t="shared" si="0"/>
        <v>4264.478999999999</v>
      </c>
      <c r="C10" s="15">
        <f>C11+C12</f>
        <v>490.38</v>
      </c>
      <c r="D10" s="15"/>
      <c r="E10" s="15">
        <f>E11+E12</f>
        <v>1499.892</v>
      </c>
      <c r="F10" s="16">
        <f>F11+F12</f>
        <v>2274.207</v>
      </c>
    </row>
    <row r="11" spans="1:6" s="3" customFormat="1" ht="21.75" customHeight="1">
      <c r="A11" s="34" t="s">
        <v>25</v>
      </c>
      <c r="B11" s="32">
        <f t="shared" si="0"/>
        <v>2643.1449999999995</v>
      </c>
      <c r="C11" s="8">
        <f>490.38-C12</f>
        <v>447.88</v>
      </c>
      <c r="D11" s="8"/>
      <c r="E11" s="8">
        <f>1499.892-E12</f>
        <v>1155.979</v>
      </c>
      <c r="F11" s="9">
        <f>2274.207-F12</f>
        <v>1039.2859999999998</v>
      </c>
    </row>
    <row r="12" spans="1:6" s="3" customFormat="1" ht="19.5" customHeight="1">
      <c r="A12" s="34" t="s">
        <v>22</v>
      </c>
      <c r="B12" s="32">
        <f t="shared" si="0"/>
        <v>1621.334</v>
      </c>
      <c r="C12" s="15">
        <f>C13+C14</f>
        <v>42.5</v>
      </c>
      <c r="D12" s="8"/>
      <c r="E12" s="15">
        <f>E13+E14</f>
        <v>343.913</v>
      </c>
      <c r="F12" s="16">
        <f>F13+F14</f>
        <v>1234.921</v>
      </c>
    </row>
    <row r="13" spans="1:6" s="3" customFormat="1" ht="17.25" customHeight="1">
      <c r="A13" s="34" t="s">
        <v>23</v>
      </c>
      <c r="B13" s="32">
        <f t="shared" si="0"/>
        <v>934.782</v>
      </c>
      <c r="C13" s="11"/>
      <c r="D13" s="11"/>
      <c r="E13" s="11">
        <v>42.5</v>
      </c>
      <c r="F13" s="12">
        <v>892.282</v>
      </c>
    </row>
    <row r="14" spans="1:6" s="3" customFormat="1" ht="17.25" customHeight="1">
      <c r="A14" s="34" t="s">
        <v>24</v>
      </c>
      <c r="B14" s="32">
        <f t="shared" si="0"/>
        <v>686.552</v>
      </c>
      <c r="C14" s="11">
        <v>42.5</v>
      </c>
      <c r="D14" s="11"/>
      <c r="E14" s="11">
        <v>301.413</v>
      </c>
      <c r="F14" s="12">
        <v>342.639</v>
      </c>
    </row>
    <row r="15" spans="1:6" s="3" customFormat="1" ht="35.25" customHeight="1">
      <c r="A15" s="69" t="s">
        <v>6</v>
      </c>
      <c r="B15" s="32">
        <f t="shared" si="0"/>
        <v>920.694</v>
      </c>
      <c r="C15" s="15">
        <f>C16+C17</f>
        <v>920.694</v>
      </c>
      <c r="D15" s="8"/>
      <c r="E15" s="8"/>
      <c r="F15" s="9"/>
    </row>
    <row r="16" spans="1:6" s="3" customFormat="1" ht="19.5" customHeight="1">
      <c r="A16" s="34" t="s">
        <v>25</v>
      </c>
      <c r="B16" s="32">
        <f t="shared" si="0"/>
        <v>920.694</v>
      </c>
      <c r="C16" s="8">
        <v>920.694</v>
      </c>
      <c r="D16" s="8"/>
      <c r="E16" s="15"/>
      <c r="F16" s="16"/>
    </row>
    <row r="17" spans="1:6" s="3" customFormat="1" ht="18" customHeight="1">
      <c r="A17" s="34" t="s">
        <v>22</v>
      </c>
      <c r="B17" s="32">
        <f t="shared" si="0"/>
        <v>0</v>
      </c>
      <c r="C17" s="8"/>
      <c r="D17" s="8"/>
      <c r="E17" s="15">
        <f>E18+E19</f>
        <v>0</v>
      </c>
      <c r="F17" s="16">
        <f>F18+F19</f>
        <v>0</v>
      </c>
    </row>
    <row r="18" spans="1:6" s="3" customFormat="1" ht="19.5" customHeight="1">
      <c r="A18" s="34" t="s">
        <v>23</v>
      </c>
      <c r="B18" s="32">
        <f t="shared" si="0"/>
        <v>0</v>
      </c>
      <c r="C18" s="11"/>
      <c r="D18" s="11"/>
      <c r="E18" s="11"/>
      <c r="F18" s="12"/>
    </row>
    <row r="19" spans="1:6" s="3" customFormat="1" ht="19.5" customHeight="1">
      <c r="A19" s="34" t="s">
        <v>24</v>
      </c>
      <c r="B19" s="32">
        <f t="shared" si="0"/>
        <v>0</v>
      </c>
      <c r="C19" s="11"/>
      <c r="D19" s="11"/>
      <c r="E19" s="11"/>
      <c r="F19" s="12"/>
    </row>
    <row r="20" spans="1:6" s="3" customFormat="1" ht="51" customHeight="1">
      <c r="A20" s="69" t="s">
        <v>8</v>
      </c>
      <c r="B20" s="32">
        <f t="shared" si="0"/>
        <v>290.076</v>
      </c>
      <c r="C20" s="15">
        <f>C21+C22</f>
        <v>12.345</v>
      </c>
      <c r="D20" s="15">
        <f>D21+D22</f>
        <v>153.284</v>
      </c>
      <c r="E20" s="15">
        <f>E21+E22</f>
        <v>19.904</v>
      </c>
      <c r="F20" s="16">
        <f>F21+F22</f>
        <v>104.543</v>
      </c>
    </row>
    <row r="21" spans="1:6" s="3" customFormat="1" ht="21.75" customHeight="1">
      <c r="A21" s="34" t="s">
        <v>25</v>
      </c>
      <c r="B21" s="32">
        <f t="shared" si="0"/>
        <v>269.996</v>
      </c>
      <c r="C21" s="8">
        <v>12.345</v>
      </c>
      <c r="D21" s="8">
        <v>153.284</v>
      </c>
      <c r="E21" s="8">
        <v>19.904</v>
      </c>
      <c r="F21" s="9">
        <f>104.543-F22</f>
        <v>84.46300000000001</v>
      </c>
    </row>
    <row r="22" spans="1:6" s="3" customFormat="1" ht="21" customHeight="1">
      <c r="A22" s="34" t="s">
        <v>22</v>
      </c>
      <c r="B22" s="32">
        <f t="shared" si="0"/>
        <v>20.08</v>
      </c>
      <c r="C22" s="8"/>
      <c r="D22" s="8"/>
      <c r="E22" s="15">
        <f>E23+E24</f>
        <v>0</v>
      </c>
      <c r="F22" s="16">
        <f>F23+F24</f>
        <v>20.08</v>
      </c>
    </row>
    <row r="23" spans="1:6" s="3" customFormat="1" ht="21.75" customHeight="1">
      <c r="A23" s="34" t="s">
        <v>23</v>
      </c>
      <c r="B23" s="32">
        <f t="shared" si="0"/>
        <v>20.08</v>
      </c>
      <c r="C23" s="11"/>
      <c r="D23" s="11"/>
      <c r="E23" s="11"/>
      <c r="F23" s="12">
        <v>20.08</v>
      </c>
    </row>
    <row r="24" spans="1:6" s="3" customFormat="1" ht="21" customHeight="1">
      <c r="A24" s="34" t="s">
        <v>24</v>
      </c>
      <c r="B24" s="32">
        <f t="shared" si="0"/>
        <v>0</v>
      </c>
      <c r="C24" s="11"/>
      <c r="D24" s="11"/>
      <c r="E24" s="11"/>
      <c r="F24" s="12"/>
    </row>
    <row r="25" spans="1:6" s="3" customFormat="1" ht="41.25" customHeight="1">
      <c r="A25" s="69" t="s">
        <v>9</v>
      </c>
      <c r="B25" s="32">
        <f t="shared" si="0"/>
        <v>10297.687</v>
      </c>
      <c r="C25" s="15">
        <f>C26+C27</f>
        <v>5367.66</v>
      </c>
      <c r="D25" s="15"/>
      <c r="E25" s="15">
        <f>E26+E27</f>
        <v>1475.921</v>
      </c>
      <c r="F25" s="16">
        <f>F26+F27</f>
        <v>3454.106</v>
      </c>
    </row>
    <row r="26" spans="1:6" s="3" customFormat="1" ht="19.5" customHeight="1">
      <c r="A26" s="34" t="s">
        <v>25</v>
      </c>
      <c r="B26" s="32">
        <f t="shared" si="0"/>
        <v>8086.678</v>
      </c>
      <c r="C26" s="8">
        <v>5367.66</v>
      </c>
      <c r="D26" s="8"/>
      <c r="E26" s="15">
        <v>1475.921</v>
      </c>
      <c r="F26" s="16">
        <f>3454.106-F27</f>
        <v>1243.0970000000002</v>
      </c>
    </row>
    <row r="27" spans="1:6" s="3" customFormat="1" ht="24.75" customHeight="1">
      <c r="A27" s="34" t="s">
        <v>22</v>
      </c>
      <c r="B27" s="32">
        <f t="shared" si="0"/>
        <v>2211.009</v>
      </c>
      <c r="C27" s="8"/>
      <c r="D27" s="8"/>
      <c r="E27" s="15">
        <f>E28+E29</f>
        <v>0</v>
      </c>
      <c r="F27" s="16">
        <f>F28+F29</f>
        <v>2211.009</v>
      </c>
    </row>
    <row r="28" spans="1:6" s="3" customFormat="1" ht="25.5" customHeight="1">
      <c r="A28" s="34" t="s">
        <v>23</v>
      </c>
      <c r="B28" s="32">
        <f t="shared" si="0"/>
        <v>2188.009</v>
      </c>
      <c r="C28" s="11"/>
      <c r="D28" s="11"/>
      <c r="E28" s="11"/>
      <c r="F28" s="12">
        <f>2211.009-F29</f>
        <v>2188.009</v>
      </c>
    </row>
    <row r="29" spans="1:6" s="3" customFormat="1" ht="20.25" customHeight="1">
      <c r="A29" s="34" t="s">
        <v>24</v>
      </c>
      <c r="B29" s="32">
        <f t="shared" si="0"/>
        <v>23</v>
      </c>
      <c r="C29" s="11"/>
      <c r="D29" s="11"/>
      <c r="E29" s="11"/>
      <c r="F29" s="12">
        <v>23</v>
      </c>
    </row>
    <row r="30" spans="1:6" s="3" customFormat="1" ht="50.25" customHeight="1">
      <c r="A30" s="69" t="s">
        <v>10</v>
      </c>
      <c r="B30" s="32">
        <f t="shared" si="0"/>
        <v>70.759</v>
      </c>
      <c r="C30" s="15"/>
      <c r="D30" s="15"/>
      <c r="E30" s="15">
        <f>E31+E32</f>
        <v>36.184</v>
      </c>
      <c r="F30" s="16">
        <f>F31+F32</f>
        <v>34.575</v>
      </c>
    </row>
    <row r="31" spans="1:6" s="3" customFormat="1" ht="22.5" customHeight="1">
      <c r="A31" s="34" t="s">
        <v>25</v>
      </c>
      <c r="B31" s="32">
        <f t="shared" si="0"/>
        <v>47.841</v>
      </c>
      <c r="C31" s="8"/>
      <c r="D31" s="8"/>
      <c r="E31" s="15">
        <v>36.184</v>
      </c>
      <c r="F31" s="16">
        <f>34.575-F32</f>
        <v>11.657000000000004</v>
      </c>
    </row>
    <row r="32" spans="1:6" s="3" customFormat="1" ht="24.75" customHeight="1">
      <c r="A32" s="34" t="s">
        <v>22</v>
      </c>
      <c r="B32" s="32">
        <f t="shared" si="0"/>
        <v>22.918</v>
      </c>
      <c r="C32" s="8"/>
      <c r="D32" s="8"/>
      <c r="E32" s="15">
        <f>E33+E34</f>
        <v>0</v>
      </c>
      <c r="F32" s="16">
        <f>F33+F34</f>
        <v>22.918</v>
      </c>
    </row>
    <row r="33" spans="1:6" s="3" customFormat="1" ht="18" customHeight="1">
      <c r="A33" s="34" t="s">
        <v>23</v>
      </c>
      <c r="B33" s="32">
        <f t="shared" si="0"/>
        <v>20.067</v>
      </c>
      <c r="C33" s="11"/>
      <c r="D33" s="11"/>
      <c r="E33" s="11"/>
      <c r="F33" s="12">
        <v>20.067</v>
      </c>
    </row>
    <row r="34" spans="1:6" s="3" customFormat="1" ht="18" customHeight="1">
      <c r="A34" s="34" t="s">
        <v>24</v>
      </c>
      <c r="B34" s="32">
        <f t="shared" si="0"/>
        <v>2.851</v>
      </c>
      <c r="C34" s="11"/>
      <c r="D34" s="11"/>
      <c r="E34" s="11"/>
      <c r="F34" s="12">
        <v>2.851</v>
      </c>
    </row>
    <row r="35" spans="1:6" s="3" customFormat="1" ht="25.5" customHeight="1">
      <c r="A35" s="69" t="s">
        <v>40</v>
      </c>
      <c r="B35" s="32">
        <f t="shared" si="0"/>
        <v>0</v>
      </c>
      <c r="C35" s="21"/>
      <c r="D35" s="21"/>
      <c r="E35" s="15">
        <f>E36+E37</f>
        <v>0</v>
      </c>
      <c r="F35" s="16">
        <f>F36+F37</f>
        <v>0</v>
      </c>
    </row>
    <row r="36" spans="1:6" s="3" customFormat="1" ht="23.25" customHeight="1">
      <c r="A36" s="34" t="s">
        <v>25</v>
      </c>
      <c r="B36" s="32">
        <f t="shared" si="0"/>
        <v>0</v>
      </c>
      <c r="C36" s="8"/>
      <c r="D36" s="8"/>
      <c r="E36" s="8"/>
      <c r="F36" s="9"/>
    </row>
    <row r="37" spans="1:6" s="3" customFormat="1" ht="23.25" customHeight="1">
      <c r="A37" s="34" t="s">
        <v>22</v>
      </c>
      <c r="B37" s="32">
        <f t="shared" si="0"/>
        <v>0</v>
      </c>
      <c r="C37" s="8"/>
      <c r="D37" s="8"/>
      <c r="E37" s="15">
        <f>E38+E39</f>
        <v>0</v>
      </c>
      <c r="F37" s="16">
        <f>F38+F39</f>
        <v>0</v>
      </c>
    </row>
    <row r="38" spans="1:6" s="3" customFormat="1" ht="23.25" customHeight="1">
      <c r="A38" s="34" t="s">
        <v>23</v>
      </c>
      <c r="B38" s="32">
        <f t="shared" si="0"/>
        <v>0</v>
      </c>
      <c r="C38" s="21"/>
      <c r="D38" s="21"/>
      <c r="E38" s="21"/>
      <c r="F38" s="25"/>
    </row>
    <row r="39" spans="1:6" s="3" customFormat="1" ht="23.25" customHeight="1">
      <c r="A39" s="34" t="s">
        <v>24</v>
      </c>
      <c r="B39" s="32">
        <f t="shared" si="0"/>
        <v>0</v>
      </c>
      <c r="C39" s="21"/>
      <c r="D39" s="21"/>
      <c r="E39" s="21"/>
      <c r="F39" s="25"/>
    </row>
    <row r="40" spans="1:6" s="3" customFormat="1" ht="42" customHeight="1">
      <c r="A40" s="69" t="s">
        <v>41</v>
      </c>
      <c r="B40" s="32">
        <f t="shared" si="0"/>
        <v>0</v>
      </c>
      <c r="C40" s="21"/>
      <c r="D40" s="21"/>
      <c r="E40" s="15">
        <f>E41+E42</f>
        <v>0</v>
      </c>
      <c r="F40" s="16">
        <f>F41+F42</f>
        <v>0</v>
      </c>
    </row>
    <row r="41" spans="1:6" s="3" customFormat="1" ht="19.5" customHeight="1">
      <c r="A41" s="34" t="s">
        <v>25</v>
      </c>
      <c r="B41" s="32">
        <f t="shared" si="0"/>
        <v>0</v>
      </c>
      <c r="C41" s="8"/>
      <c r="D41" s="8"/>
      <c r="E41" s="8"/>
      <c r="F41" s="9"/>
    </row>
    <row r="42" spans="1:6" s="3" customFormat="1" ht="19.5" customHeight="1">
      <c r="A42" s="34" t="s">
        <v>22</v>
      </c>
      <c r="B42" s="32">
        <f t="shared" si="0"/>
        <v>0</v>
      </c>
      <c r="C42" s="8"/>
      <c r="D42" s="8"/>
      <c r="E42" s="15">
        <f>E43+E44</f>
        <v>0</v>
      </c>
      <c r="F42" s="16">
        <f>F43+F44</f>
        <v>0</v>
      </c>
    </row>
    <row r="43" spans="1:6" s="3" customFormat="1" ht="19.5" customHeight="1">
      <c r="A43" s="34" t="s">
        <v>23</v>
      </c>
      <c r="B43" s="32">
        <f t="shared" si="0"/>
        <v>0</v>
      </c>
      <c r="C43" s="21"/>
      <c r="D43" s="21"/>
      <c r="E43" s="21"/>
      <c r="F43" s="25"/>
    </row>
    <row r="44" spans="1:6" s="3" customFormat="1" ht="19.5" customHeight="1">
      <c r="A44" s="34" t="s">
        <v>24</v>
      </c>
      <c r="B44" s="32">
        <f t="shared" si="0"/>
        <v>0</v>
      </c>
      <c r="C44" s="21"/>
      <c r="D44" s="21"/>
      <c r="E44" s="21"/>
      <c r="F44" s="25"/>
    </row>
    <row r="45" spans="1:6" s="3" customFormat="1" ht="24.75" customHeight="1">
      <c r="A45" s="69" t="s">
        <v>11</v>
      </c>
      <c r="B45" s="32">
        <f t="shared" si="0"/>
        <v>1927.9569999999999</v>
      </c>
      <c r="C45" s="15">
        <f>C46+C47</f>
        <v>0</v>
      </c>
      <c r="D45" s="8"/>
      <c r="E45" s="15">
        <f>E46+E47</f>
        <v>1469.068</v>
      </c>
      <c r="F45" s="16">
        <f>F46+F47</f>
        <v>458.889</v>
      </c>
    </row>
    <row r="46" spans="1:6" s="3" customFormat="1" ht="24.75" customHeight="1">
      <c r="A46" s="34" t="s">
        <v>25</v>
      </c>
      <c r="B46" s="32">
        <f t="shared" si="0"/>
        <v>1538.197</v>
      </c>
      <c r="C46" s="8"/>
      <c r="D46" s="8"/>
      <c r="E46" s="15">
        <f>1469.068-E47</f>
        <v>1459.4089999999999</v>
      </c>
      <c r="F46" s="16">
        <f>458.889-F47</f>
        <v>78.78800000000001</v>
      </c>
    </row>
    <row r="47" spans="1:6" s="3" customFormat="1" ht="24.75" customHeight="1">
      <c r="A47" s="34" t="s">
        <v>22</v>
      </c>
      <c r="B47" s="32">
        <f t="shared" si="0"/>
        <v>389.76</v>
      </c>
      <c r="C47" s="8"/>
      <c r="D47" s="8"/>
      <c r="E47" s="15">
        <f>E48+E49</f>
        <v>9.658999999999999</v>
      </c>
      <c r="F47" s="16">
        <f>F48+F49</f>
        <v>380.101</v>
      </c>
    </row>
    <row r="48" spans="1:6" s="3" customFormat="1" ht="24.75" customHeight="1">
      <c r="A48" s="34" t="s">
        <v>23</v>
      </c>
      <c r="B48" s="32">
        <f t="shared" si="0"/>
        <v>299.553</v>
      </c>
      <c r="C48" s="8"/>
      <c r="D48" s="8"/>
      <c r="E48" s="11">
        <v>7.786</v>
      </c>
      <c r="F48" s="12">
        <v>291.767</v>
      </c>
    </row>
    <row r="49" spans="1:6" s="3" customFormat="1" ht="24.75" customHeight="1">
      <c r="A49" s="34" t="s">
        <v>24</v>
      </c>
      <c r="B49" s="32">
        <f t="shared" si="0"/>
        <v>90.20700000000001</v>
      </c>
      <c r="C49" s="8"/>
      <c r="D49" s="8"/>
      <c r="E49" s="11">
        <v>1.873</v>
      </c>
      <c r="F49" s="12">
        <v>88.334</v>
      </c>
    </row>
    <row r="50" spans="1:6" s="3" customFormat="1" ht="24.75" customHeight="1">
      <c r="A50" s="69" t="s">
        <v>5</v>
      </c>
      <c r="B50" s="32">
        <f t="shared" si="0"/>
        <v>1698.115</v>
      </c>
      <c r="C50" s="15">
        <f>C51+C52</f>
        <v>337.19</v>
      </c>
      <c r="D50" s="8"/>
      <c r="E50" s="15">
        <f>E51+E52</f>
        <v>680.291</v>
      </c>
      <c r="F50" s="16">
        <f>F51+F52</f>
        <v>680.634</v>
      </c>
    </row>
    <row r="51" spans="1:6" s="3" customFormat="1" ht="24.75" customHeight="1">
      <c r="A51" s="34" t="s">
        <v>25</v>
      </c>
      <c r="B51" s="32">
        <f t="shared" si="0"/>
        <v>886.2940000000001</v>
      </c>
      <c r="C51" s="15">
        <v>337.19</v>
      </c>
      <c r="D51" s="8"/>
      <c r="E51" s="15">
        <f>680.291-E52</f>
        <v>270.0110000000001</v>
      </c>
      <c r="F51" s="16">
        <f>680.634-F52</f>
        <v>279.093</v>
      </c>
    </row>
    <row r="52" spans="1:6" s="3" customFormat="1" ht="24.75" customHeight="1">
      <c r="A52" s="34" t="s">
        <v>22</v>
      </c>
      <c r="B52" s="32">
        <f t="shared" si="0"/>
        <v>811.8209999999999</v>
      </c>
      <c r="C52" s="8"/>
      <c r="D52" s="8"/>
      <c r="E52" s="15">
        <f>E53+E54</f>
        <v>410.28</v>
      </c>
      <c r="F52" s="16">
        <f>F53+F54</f>
        <v>401.541</v>
      </c>
    </row>
    <row r="53" spans="1:6" s="3" customFormat="1" ht="24.75" customHeight="1">
      <c r="A53" s="34" t="s">
        <v>23</v>
      </c>
      <c r="B53" s="32">
        <f t="shared" si="0"/>
        <v>811.8209999999999</v>
      </c>
      <c r="C53" s="11"/>
      <c r="D53" s="11"/>
      <c r="E53" s="11">
        <v>410.28</v>
      </c>
      <c r="F53" s="12">
        <v>401.541</v>
      </c>
    </row>
    <row r="54" spans="1:6" s="3" customFormat="1" ht="24.75" customHeight="1">
      <c r="A54" s="34" t="s">
        <v>24</v>
      </c>
      <c r="B54" s="32">
        <f t="shared" si="0"/>
        <v>0</v>
      </c>
      <c r="C54" s="11"/>
      <c r="D54" s="11"/>
      <c r="E54" s="11"/>
      <c r="F54" s="12"/>
    </row>
    <row r="55" spans="1:6" s="3" customFormat="1" ht="50.25" customHeight="1">
      <c r="A55" s="69" t="s">
        <v>12</v>
      </c>
      <c r="B55" s="32">
        <f t="shared" si="0"/>
        <v>4968.4619999999995</v>
      </c>
      <c r="C55" s="15"/>
      <c r="D55" s="8"/>
      <c r="E55" s="15">
        <f>E56+E57</f>
        <v>1258.425</v>
      </c>
      <c r="F55" s="16">
        <f>F56+F57</f>
        <v>3710.037</v>
      </c>
    </row>
    <row r="56" spans="1:6" s="3" customFormat="1" ht="26.25" customHeight="1">
      <c r="A56" s="34" t="s">
        <v>25</v>
      </c>
      <c r="B56" s="32">
        <f t="shared" si="0"/>
        <v>2573.548</v>
      </c>
      <c r="C56" s="8"/>
      <c r="D56" s="8"/>
      <c r="E56" s="15">
        <f>1258.425-E57</f>
        <v>1108.898</v>
      </c>
      <c r="F56" s="16">
        <f>3710.037-F57</f>
        <v>1464.6499999999996</v>
      </c>
    </row>
    <row r="57" spans="1:6" s="3" customFormat="1" ht="26.25" customHeight="1">
      <c r="A57" s="34" t="s">
        <v>22</v>
      </c>
      <c r="B57" s="32">
        <f t="shared" si="0"/>
        <v>2394.914</v>
      </c>
      <c r="C57" s="8"/>
      <c r="D57" s="8"/>
      <c r="E57" s="15">
        <f>E58+E59</f>
        <v>149.527</v>
      </c>
      <c r="F57" s="16">
        <f>F58+F59</f>
        <v>2245.387</v>
      </c>
    </row>
    <row r="58" spans="1:6" s="3" customFormat="1" ht="26.25" customHeight="1">
      <c r="A58" s="34" t="s">
        <v>23</v>
      </c>
      <c r="B58" s="32">
        <f t="shared" si="0"/>
        <v>598.418</v>
      </c>
      <c r="C58" s="10"/>
      <c r="D58" s="8"/>
      <c r="E58" s="11">
        <v>22.316</v>
      </c>
      <c r="F58" s="12">
        <v>576.102</v>
      </c>
    </row>
    <row r="59" spans="1:6" s="3" customFormat="1" ht="26.25" customHeight="1">
      <c r="A59" s="34" t="s">
        <v>24</v>
      </c>
      <c r="B59" s="32">
        <f t="shared" si="0"/>
        <v>1796.496</v>
      </c>
      <c r="C59" s="10"/>
      <c r="D59" s="8"/>
      <c r="E59" s="11">
        <v>127.211</v>
      </c>
      <c r="F59" s="12">
        <v>1669.285</v>
      </c>
    </row>
    <row r="60" spans="1:6" s="3" customFormat="1" ht="24.75" customHeight="1">
      <c r="A60" s="70" t="s">
        <v>13</v>
      </c>
      <c r="B60" s="32">
        <f t="shared" si="0"/>
        <v>184.653</v>
      </c>
      <c r="C60" s="10"/>
      <c r="D60" s="8"/>
      <c r="E60" s="15">
        <f>E61+E62</f>
        <v>100.062</v>
      </c>
      <c r="F60" s="16">
        <f>F61+F62</f>
        <v>84.591</v>
      </c>
    </row>
    <row r="61" spans="1:6" s="3" customFormat="1" ht="21.75" customHeight="1">
      <c r="A61" s="34" t="s">
        <v>25</v>
      </c>
      <c r="B61" s="32">
        <f t="shared" si="0"/>
        <v>184.653</v>
      </c>
      <c r="C61" s="8"/>
      <c r="D61" s="8"/>
      <c r="E61" s="15">
        <v>100.062</v>
      </c>
      <c r="F61" s="16">
        <v>84.591</v>
      </c>
    </row>
    <row r="62" spans="1:6" s="3" customFormat="1" ht="16.5" customHeight="1">
      <c r="A62" s="34" t="s">
        <v>22</v>
      </c>
      <c r="B62" s="32">
        <f t="shared" si="0"/>
        <v>0</v>
      </c>
      <c r="C62" s="8"/>
      <c r="D62" s="8"/>
      <c r="E62" s="15">
        <f>E63+E64</f>
        <v>0</v>
      </c>
      <c r="F62" s="16">
        <f>F63+F64</f>
        <v>0</v>
      </c>
    </row>
    <row r="63" spans="1:6" s="3" customFormat="1" ht="18" customHeight="1">
      <c r="A63" s="34" t="s">
        <v>23</v>
      </c>
      <c r="B63" s="32">
        <f t="shared" si="0"/>
        <v>0</v>
      </c>
      <c r="C63" s="10"/>
      <c r="D63" s="8"/>
      <c r="E63" s="10"/>
      <c r="F63" s="17"/>
    </row>
    <row r="64" spans="1:6" s="3" customFormat="1" ht="18" customHeight="1">
      <c r="A64" s="34" t="s">
        <v>24</v>
      </c>
      <c r="B64" s="32">
        <f t="shared" si="0"/>
        <v>0</v>
      </c>
      <c r="C64" s="10"/>
      <c r="D64" s="8"/>
      <c r="E64" s="10"/>
      <c r="F64" s="17"/>
    </row>
    <row r="65" spans="1:6" s="3" customFormat="1" ht="24.75" customHeight="1">
      <c r="A65" s="70" t="s">
        <v>4</v>
      </c>
      <c r="B65" s="32">
        <f t="shared" si="0"/>
        <v>525.719</v>
      </c>
      <c r="C65" s="15">
        <f>C66+C67</f>
        <v>525.719</v>
      </c>
      <c r="D65" s="8"/>
      <c r="E65" s="8"/>
      <c r="F65" s="9"/>
    </row>
    <row r="66" spans="1:6" s="3" customFormat="1" ht="21.75" customHeight="1">
      <c r="A66" s="34" t="s">
        <v>25</v>
      </c>
      <c r="B66" s="32">
        <f t="shared" si="0"/>
        <v>525.719</v>
      </c>
      <c r="C66" s="15">
        <v>525.719</v>
      </c>
      <c r="D66" s="8"/>
      <c r="E66" s="15">
        <f>E65-E67</f>
        <v>0</v>
      </c>
      <c r="F66" s="16">
        <f>F65-F67</f>
        <v>0</v>
      </c>
    </row>
    <row r="67" spans="1:6" s="3" customFormat="1" ht="18" customHeight="1">
      <c r="A67" s="34" t="s">
        <v>22</v>
      </c>
      <c r="B67" s="32">
        <f t="shared" si="0"/>
        <v>0</v>
      </c>
      <c r="C67" s="15">
        <f>C68+C69</f>
        <v>0</v>
      </c>
      <c r="D67" s="8"/>
      <c r="E67" s="15">
        <f>E68+E69</f>
        <v>0</v>
      </c>
      <c r="F67" s="16">
        <f>F68+F69</f>
        <v>0</v>
      </c>
    </row>
    <row r="68" spans="1:6" s="3" customFormat="1" ht="19.5" customHeight="1">
      <c r="A68" s="34" t="s">
        <v>23</v>
      </c>
      <c r="B68" s="32">
        <f t="shared" si="0"/>
        <v>0</v>
      </c>
      <c r="C68" s="11"/>
      <c r="D68" s="8"/>
      <c r="E68" s="8"/>
      <c r="F68" s="9"/>
    </row>
    <row r="69" spans="1:6" s="3" customFormat="1" ht="19.5" customHeight="1" thickBot="1">
      <c r="A69" s="35" t="s">
        <v>24</v>
      </c>
      <c r="B69" s="33">
        <f t="shared" si="0"/>
        <v>0</v>
      </c>
      <c r="C69" s="14"/>
      <c r="D69" s="13"/>
      <c r="E69" s="13"/>
      <c r="F69" s="18"/>
    </row>
    <row r="70" spans="1:6" s="4" customFormat="1" ht="24" customHeight="1">
      <c r="A70" s="105" t="s">
        <v>34</v>
      </c>
      <c r="B70" s="72">
        <f>C70+D70+E70+F70</f>
        <v>146.5</v>
      </c>
      <c r="C70" s="40"/>
      <c r="D70" s="40"/>
      <c r="E70" s="41">
        <v>146.5</v>
      </c>
      <c r="F70" s="42"/>
    </row>
    <row r="71" spans="1:6" s="4" customFormat="1" ht="24" customHeight="1">
      <c r="A71" s="39" t="s">
        <v>35</v>
      </c>
      <c r="B71" s="6">
        <f aca="true" t="shared" si="1" ref="B71:B79">C71+D71+E71+F71</f>
        <v>19.062</v>
      </c>
      <c r="C71" s="8"/>
      <c r="D71" s="8"/>
      <c r="E71" s="11">
        <v>19.062</v>
      </c>
      <c r="F71" s="9"/>
    </row>
    <row r="72" spans="1:6" s="4" customFormat="1" ht="24" customHeight="1">
      <c r="A72" s="39" t="s">
        <v>42</v>
      </c>
      <c r="B72" s="6">
        <f t="shared" si="1"/>
        <v>480.075</v>
      </c>
      <c r="C72" s="8"/>
      <c r="D72" s="8"/>
      <c r="E72" s="11">
        <v>413.82</v>
      </c>
      <c r="F72" s="12">
        <v>66.255</v>
      </c>
    </row>
    <row r="73" spans="1:6" s="4" customFormat="1" ht="33" customHeight="1">
      <c r="A73" s="48" t="s">
        <v>43</v>
      </c>
      <c r="B73" s="6">
        <f t="shared" si="1"/>
        <v>1305.9</v>
      </c>
      <c r="C73" s="75">
        <v>1297.4</v>
      </c>
      <c r="D73" s="75"/>
      <c r="E73" s="75"/>
      <c r="F73" s="76">
        <v>8.5</v>
      </c>
    </row>
    <row r="74" spans="1:6" s="4" customFormat="1" ht="24" customHeight="1">
      <c r="A74" s="39" t="s">
        <v>36</v>
      </c>
      <c r="B74" s="6">
        <f t="shared" si="1"/>
        <v>600.984</v>
      </c>
      <c r="C74" s="10">
        <v>408.547</v>
      </c>
      <c r="D74" s="10"/>
      <c r="E74" s="10">
        <v>156.936</v>
      </c>
      <c r="F74" s="17">
        <v>35.501</v>
      </c>
    </row>
    <row r="75" spans="1:6" s="4" customFormat="1" ht="24" customHeight="1">
      <c r="A75" s="39" t="s">
        <v>44</v>
      </c>
      <c r="B75" s="6">
        <f t="shared" si="1"/>
        <v>0</v>
      </c>
      <c r="C75" s="10"/>
      <c r="D75" s="10"/>
      <c r="E75" s="10"/>
      <c r="F75" s="17"/>
    </row>
    <row r="76" spans="1:6" s="4" customFormat="1" ht="24" customHeight="1">
      <c r="A76" s="48" t="s">
        <v>37</v>
      </c>
      <c r="B76" s="79">
        <f t="shared" si="1"/>
        <v>0</v>
      </c>
      <c r="C76" s="46"/>
      <c r="D76" s="46"/>
      <c r="E76" s="46"/>
      <c r="F76" s="47"/>
    </row>
    <row r="77" spans="1:6" s="4" customFormat="1" ht="36">
      <c r="A77" s="80" t="s">
        <v>38</v>
      </c>
      <c r="B77" s="79">
        <f t="shared" si="1"/>
        <v>0</v>
      </c>
      <c r="C77" s="46"/>
      <c r="D77" s="46"/>
      <c r="E77" s="46"/>
      <c r="F77" s="47"/>
    </row>
    <row r="78" spans="1:6" s="4" customFormat="1" ht="54.75" thickBot="1">
      <c r="A78" s="82" t="s">
        <v>39</v>
      </c>
      <c r="B78" s="83">
        <f t="shared" si="1"/>
        <v>0</v>
      </c>
      <c r="C78" s="84"/>
      <c r="D78" s="84"/>
      <c r="E78" s="84"/>
      <c r="F78" s="85"/>
    </row>
    <row r="79" spans="1:6" s="4" customFormat="1" ht="39" customHeight="1" thickBot="1">
      <c r="A79" s="38" t="s">
        <v>14</v>
      </c>
      <c r="B79" s="91">
        <f t="shared" si="1"/>
        <v>99391.28800000002</v>
      </c>
      <c r="C79" s="92">
        <f>C5+C10+C15+C20+C25+C30+C35+C40+C45+C50+C55+C60+C65+C70+C70+C71+C72+C73+C74+C75+C76+C77+C78</f>
        <v>43612.837</v>
      </c>
      <c r="D79" s="92">
        <f>D5+D10+D15+D20+D25+D30+D35+D40+D45+D50+D55+D60+D65+D70+D70+D71+D72+D73+D74+D75+D76+D77+D78</f>
        <v>1082.8490000000002</v>
      </c>
      <c r="E79" s="92">
        <f>E5+E10+E15+E20+E25+E30+E35+E40+E45+E50+E55+E60+E65+E70+E71+E72+E73+E74+E75+E76+E77+E78</f>
        <v>22761.332000000002</v>
      </c>
      <c r="F79" s="92">
        <f>F5+F10+F15+F20+F25+F30+F35+F40+F45+F50+F55+F60+F65+F70+F70+F71+F72+F73+F74+F75+F76+F77+F78</f>
        <v>31934.27</v>
      </c>
    </row>
    <row r="80" s="4" customFormat="1" ht="12.75"/>
    <row r="81" s="4" customFormat="1" ht="12.75"/>
  </sheetData>
  <mergeCells count="2">
    <mergeCell ref="A1:F1"/>
    <mergeCell ref="A2:F2"/>
  </mergeCells>
  <printOptions horizontalCentered="1"/>
  <pageMargins left="0.3937007874015748" right="0.3937007874015748" top="0.7874015748031497" bottom="0.3937007874015748" header="0.5118110236220472" footer="0.5118110236220472"/>
  <pageSetup fitToHeight="1" fitToWidth="1" horizontalDpi="600" verticalDpi="600" orientation="portrait" paperSize="9" scale="4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9"/>
  <sheetViews>
    <sheetView zoomScale="60" zoomScaleNormal="60" workbookViewId="0" topLeftCell="A1">
      <pane xSplit="1" ySplit="4" topLeftCell="B5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80" sqref="E80"/>
    </sheetView>
  </sheetViews>
  <sheetFormatPr defaultColWidth="9.00390625" defaultRowHeight="12.75"/>
  <cols>
    <col min="1" max="1" width="51.00390625" style="0" customWidth="1"/>
    <col min="2" max="6" width="25.25390625" style="0" customWidth="1"/>
  </cols>
  <sheetData>
    <row r="1" spans="1:6" s="54" customFormat="1" ht="47.25" customHeight="1">
      <c r="A1" s="53" t="s">
        <v>45</v>
      </c>
      <c r="B1" s="53"/>
      <c r="C1" s="53"/>
      <c r="D1" s="53"/>
      <c r="E1" s="53"/>
      <c r="F1" s="53"/>
    </row>
    <row r="2" spans="1:6" s="57" customFormat="1" ht="23.25">
      <c r="A2" s="55" t="s">
        <v>52</v>
      </c>
      <c r="B2" s="55"/>
      <c r="C2" s="55"/>
      <c r="D2" s="56"/>
      <c r="E2" s="56"/>
      <c r="F2" s="56"/>
    </row>
    <row r="3" s="58" customFormat="1" ht="18.75" thickBot="1">
      <c r="F3" s="59" t="s">
        <v>46</v>
      </c>
    </row>
    <row r="4" spans="1:6" s="2" customFormat="1" ht="29.25" customHeight="1" thickBot="1">
      <c r="A4" s="61" t="s">
        <v>21</v>
      </c>
      <c r="B4" s="62"/>
      <c r="C4" s="63" t="s">
        <v>0</v>
      </c>
      <c r="D4" s="63" t="s">
        <v>1</v>
      </c>
      <c r="E4" s="63" t="s">
        <v>2</v>
      </c>
      <c r="F4" s="64" t="s">
        <v>3</v>
      </c>
    </row>
    <row r="5" spans="1:6" s="3" customFormat="1" ht="57" customHeight="1">
      <c r="A5" s="65" t="s">
        <v>7</v>
      </c>
      <c r="B5" s="66">
        <f aca="true" t="shared" si="0" ref="B5:B69">C5+D5+E5+F5</f>
        <v>72782.35100000001</v>
      </c>
      <c r="C5" s="67">
        <f>C6+C7</f>
        <v>35175.783</v>
      </c>
      <c r="D5" s="67">
        <f>D6+D7</f>
        <v>1106.3500000000001</v>
      </c>
      <c r="E5" s="67">
        <f>E6+E7</f>
        <v>14927.876</v>
      </c>
      <c r="F5" s="68">
        <f>F6+F7</f>
        <v>21572.342</v>
      </c>
    </row>
    <row r="6" spans="1:6" s="3" customFormat="1" ht="27" customHeight="1">
      <c r="A6" s="34" t="s">
        <v>25</v>
      </c>
      <c r="B6" s="32">
        <f t="shared" si="0"/>
        <v>57979.175</v>
      </c>
      <c r="C6" s="8">
        <v>34915.409</v>
      </c>
      <c r="D6" s="8">
        <v>1105.4</v>
      </c>
      <c r="E6" s="8">
        <v>14138.49</v>
      </c>
      <c r="F6" s="9">
        <v>7819.876</v>
      </c>
    </row>
    <row r="7" spans="1:6" s="3" customFormat="1" ht="20.25" customHeight="1">
      <c r="A7" s="34" t="s">
        <v>22</v>
      </c>
      <c r="B7" s="32">
        <f t="shared" si="0"/>
        <v>14803.176</v>
      </c>
      <c r="C7" s="8">
        <f>C8+C9</f>
        <v>260.374</v>
      </c>
      <c r="D7" s="15">
        <f>D8+D9</f>
        <v>0.95</v>
      </c>
      <c r="E7" s="15">
        <f>E8+E9</f>
        <v>789.386</v>
      </c>
      <c r="F7" s="16">
        <f>F8+F9</f>
        <v>13752.466</v>
      </c>
    </row>
    <row r="8" spans="1:6" s="3" customFormat="1" ht="21.75" customHeight="1">
      <c r="A8" s="34" t="s">
        <v>23</v>
      </c>
      <c r="B8" s="32">
        <f t="shared" si="0"/>
        <v>4154.811</v>
      </c>
      <c r="C8" s="11">
        <v>75.532</v>
      </c>
      <c r="D8" s="11"/>
      <c r="E8" s="11">
        <v>41.817</v>
      </c>
      <c r="F8" s="12">
        <v>4037.462</v>
      </c>
    </row>
    <row r="9" spans="1:6" s="3" customFormat="1" ht="24.75" customHeight="1">
      <c r="A9" s="34" t="s">
        <v>24</v>
      </c>
      <c r="B9" s="32">
        <f t="shared" si="0"/>
        <v>10648.365000000002</v>
      </c>
      <c r="C9" s="11">
        <v>184.842</v>
      </c>
      <c r="D9" s="11">
        <v>0.95</v>
      </c>
      <c r="E9" s="11">
        <v>747.569</v>
      </c>
      <c r="F9" s="12">
        <v>9715.004</v>
      </c>
    </row>
    <row r="10" spans="1:6" s="3" customFormat="1" ht="47.25" customHeight="1">
      <c r="A10" s="69" t="s">
        <v>15</v>
      </c>
      <c r="B10" s="32">
        <f t="shared" si="0"/>
        <v>4448.162</v>
      </c>
      <c r="C10" s="15">
        <f>C11+C12</f>
        <v>504.32</v>
      </c>
      <c r="D10" s="15"/>
      <c r="E10" s="15">
        <f>E11+E12</f>
        <v>1547.686</v>
      </c>
      <c r="F10" s="16">
        <f>F11+F12</f>
        <v>2396.156</v>
      </c>
    </row>
    <row r="11" spans="1:6" s="3" customFormat="1" ht="21.75" customHeight="1">
      <c r="A11" s="34" t="s">
        <v>25</v>
      </c>
      <c r="B11" s="32">
        <f t="shared" si="0"/>
        <v>2699.9809999999998</v>
      </c>
      <c r="C11" s="8">
        <v>458.366</v>
      </c>
      <c r="D11" s="8"/>
      <c r="E11" s="8">
        <v>1277.097</v>
      </c>
      <c r="F11" s="9">
        <v>964.518</v>
      </c>
    </row>
    <row r="12" spans="1:6" s="3" customFormat="1" ht="19.5" customHeight="1">
      <c r="A12" s="34" t="s">
        <v>22</v>
      </c>
      <c r="B12" s="32">
        <f t="shared" si="0"/>
        <v>1748.181</v>
      </c>
      <c r="C12" s="15">
        <f>C13+C14</f>
        <v>45.954</v>
      </c>
      <c r="D12" s="8"/>
      <c r="E12" s="15">
        <f>E13+E14</f>
        <v>270.589</v>
      </c>
      <c r="F12" s="16">
        <f>F13+F14</f>
        <v>1431.638</v>
      </c>
    </row>
    <row r="13" spans="1:6" s="3" customFormat="1" ht="17.25" customHeight="1">
      <c r="A13" s="34" t="s">
        <v>23</v>
      </c>
      <c r="B13" s="32">
        <f t="shared" si="0"/>
        <v>1024.0420000000001</v>
      </c>
      <c r="C13" s="11"/>
      <c r="D13" s="11"/>
      <c r="E13" s="11">
        <v>46.429</v>
      </c>
      <c r="F13" s="12">
        <v>977.613</v>
      </c>
    </row>
    <row r="14" spans="1:6" s="3" customFormat="1" ht="17.25" customHeight="1">
      <c r="A14" s="34" t="s">
        <v>24</v>
      </c>
      <c r="B14" s="32">
        <f t="shared" si="0"/>
        <v>724.1389999999999</v>
      </c>
      <c r="C14" s="11">
        <v>45.954</v>
      </c>
      <c r="D14" s="11"/>
      <c r="E14" s="11">
        <v>224.16</v>
      </c>
      <c r="F14" s="12">
        <v>454.025</v>
      </c>
    </row>
    <row r="15" spans="1:6" s="3" customFormat="1" ht="35.25" customHeight="1">
      <c r="A15" s="69" t="s">
        <v>6</v>
      </c>
      <c r="B15" s="32">
        <f t="shared" si="0"/>
        <v>1066.258</v>
      </c>
      <c r="C15" s="15">
        <f>C16+C17</f>
        <v>1066.258</v>
      </c>
      <c r="D15" s="8"/>
      <c r="E15" s="8"/>
      <c r="F15" s="9"/>
    </row>
    <row r="16" spans="1:6" s="3" customFormat="1" ht="19.5" customHeight="1">
      <c r="A16" s="34" t="s">
        <v>25</v>
      </c>
      <c r="B16" s="32">
        <f t="shared" si="0"/>
        <v>1066.258</v>
      </c>
      <c r="C16" s="8">
        <v>1066.258</v>
      </c>
      <c r="D16" s="8"/>
      <c r="E16" s="15"/>
      <c r="F16" s="16"/>
    </row>
    <row r="17" spans="1:6" s="3" customFormat="1" ht="18" customHeight="1">
      <c r="A17" s="34" t="s">
        <v>22</v>
      </c>
      <c r="B17" s="32">
        <f t="shared" si="0"/>
        <v>0</v>
      </c>
      <c r="C17" s="8"/>
      <c r="D17" s="8"/>
      <c r="E17" s="15">
        <f>E18+E19</f>
        <v>0</v>
      </c>
      <c r="F17" s="16">
        <f>F18+F19</f>
        <v>0</v>
      </c>
    </row>
    <row r="18" spans="1:6" s="3" customFormat="1" ht="19.5" customHeight="1">
      <c r="A18" s="34" t="s">
        <v>23</v>
      </c>
      <c r="B18" s="32">
        <f t="shared" si="0"/>
        <v>0</v>
      </c>
      <c r="C18" s="11"/>
      <c r="D18" s="11"/>
      <c r="E18" s="11"/>
      <c r="F18" s="12"/>
    </row>
    <row r="19" spans="1:6" s="3" customFormat="1" ht="19.5" customHeight="1">
      <c r="A19" s="34" t="s">
        <v>24</v>
      </c>
      <c r="B19" s="32">
        <f t="shared" si="0"/>
        <v>0</v>
      </c>
      <c r="C19" s="11"/>
      <c r="D19" s="11"/>
      <c r="E19" s="11"/>
      <c r="F19" s="12"/>
    </row>
    <row r="20" spans="1:6" s="3" customFormat="1" ht="63.75" customHeight="1">
      <c r="A20" s="69" t="s">
        <v>8</v>
      </c>
      <c r="B20" s="32">
        <f t="shared" si="0"/>
        <v>391.854</v>
      </c>
      <c r="C20" s="15">
        <f>C21+C22</f>
        <v>9.663</v>
      </c>
      <c r="D20" s="15">
        <f>D21+D22</f>
        <v>252.289</v>
      </c>
      <c r="E20" s="15">
        <f>E21+E22</f>
        <v>21.52</v>
      </c>
      <c r="F20" s="16">
        <f>F21+F22</f>
        <v>108.382</v>
      </c>
    </row>
    <row r="21" spans="1:6" s="3" customFormat="1" ht="21.75" customHeight="1">
      <c r="A21" s="34" t="s">
        <v>25</v>
      </c>
      <c r="B21" s="32">
        <f t="shared" si="0"/>
        <v>372.014</v>
      </c>
      <c r="C21" s="8">
        <v>9.663</v>
      </c>
      <c r="D21" s="8">
        <v>252.289</v>
      </c>
      <c r="E21" s="8">
        <v>21.52</v>
      </c>
      <c r="F21" s="9">
        <v>88.542</v>
      </c>
    </row>
    <row r="22" spans="1:6" s="3" customFormat="1" ht="21" customHeight="1">
      <c r="A22" s="34" t="s">
        <v>22</v>
      </c>
      <c r="B22" s="32">
        <f t="shared" si="0"/>
        <v>19.84</v>
      </c>
      <c r="C22" s="8"/>
      <c r="D22" s="8"/>
      <c r="E22" s="15">
        <f>E23+E24</f>
        <v>0</v>
      </c>
      <c r="F22" s="16">
        <f>F23+F24</f>
        <v>19.84</v>
      </c>
    </row>
    <row r="23" spans="1:6" s="3" customFormat="1" ht="21.75" customHeight="1">
      <c r="A23" s="34" t="s">
        <v>23</v>
      </c>
      <c r="B23" s="32">
        <f t="shared" si="0"/>
        <v>19.84</v>
      </c>
      <c r="C23" s="11"/>
      <c r="D23" s="11"/>
      <c r="E23" s="11"/>
      <c r="F23" s="12">
        <v>19.84</v>
      </c>
    </row>
    <row r="24" spans="1:6" s="3" customFormat="1" ht="21" customHeight="1">
      <c r="A24" s="34" t="s">
        <v>24</v>
      </c>
      <c r="B24" s="32">
        <f t="shared" si="0"/>
        <v>0</v>
      </c>
      <c r="C24" s="11"/>
      <c r="D24" s="11"/>
      <c r="E24" s="11"/>
      <c r="F24" s="12"/>
    </row>
    <row r="25" spans="1:6" s="3" customFormat="1" ht="52.5" customHeight="1">
      <c r="A25" s="69" t="s">
        <v>9</v>
      </c>
      <c r="B25" s="32">
        <f t="shared" si="0"/>
        <v>10386.375</v>
      </c>
      <c r="C25" s="15">
        <f>C26+C27</f>
        <v>5428.53</v>
      </c>
      <c r="D25" s="15"/>
      <c r="E25" s="15">
        <f>E26+E27</f>
        <v>1533.838</v>
      </c>
      <c r="F25" s="16">
        <f>F26+F27</f>
        <v>3424.007</v>
      </c>
    </row>
    <row r="26" spans="1:6" s="3" customFormat="1" ht="19.5" customHeight="1">
      <c r="A26" s="34" t="s">
        <v>25</v>
      </c>
      <c r="B26" s="32">
        <f t="shared" si="0"/>
        <v>8208.895</v>
      </c>
      <c r="C26" s="8">
        <v>5428.53</v>
      </c>
      <c r="D26" s="8"/>
      <c r="E26" s="15">
        <v>1533.838</v>
      </c>
      <c r="F26" s="16">
        <v>1246.527</v>
      </c>
    </row>
    <row r="27" spans="1:6" s="3" customFormat="1" ht="24.75" customHeight="1">
      <c r="A27" s="34" t="s">
        <v>22</v>
      </c>
      <c r="B27" s="32">
        <f t="shared" si="0"/>
        <v>2177.48</v>
      </c>
      <c r="C27" s="8"/>
      <c r="D27" s="8"/>
      <c r="E27" s="15">
        <f>E28+E29</f>
        <v>0</v>
      </c>
      <c r="F27" s="16">
        <f>F28+F29</f>
        <v>2177.48</v>
      </c>
    </row>
    <row r="28" spans="1:6" s="3" customFormat="1" ht="25.5" customHeight="1">
      <c r="A28" s="34" t="s">
        <v>23</v>
      </c>
      <c r="B28" s="32">
        <f t="shared" si="0"/>
        <v>2153.781</v>
      </c>
      <c r="C28" s="11"/>
      <c r="D28" s="11"/>
      <c r="E28" s="11"/>
      <c r="F28" s="12">
        <f>2094.954+58.827</f>
        <v>2153.781</v>
      </c>
    </row>
    <row r="29" spans="1:6" s="3" customFormat="1" ht="20.25" customHeight="1">
      <c r="A29" s="34" t="s">
        <v>24</v>
      </c>
      <c r="B29" s="32">
        <f t="shared" si="0"/>
        <v>23.699</v>
      </c>
      <c r="C29" s="11"/>
      <c r="D29" s="11"/>
      <c r="E29" s="11"/>
      <c r="F29" s="12">
        <v>23.699</v>
      </c>
    </row>
    <row r="30" spans="1:6" s="3" customFormat="1" ht="50.25" customHeight="1">
      <c r="A30" s="69" t="s">
        <v>10</v>
      </c>
      <c r="B30" s="32">
        <f t="shared" si="0"/>
        <v>75.987</v>
      </c>
      <c r="C30" s="15"/>
      <c r="D30" s="15"/>
      <c r="E30" s="15">
        <f>E31+E32</f>
        <v>45.207</v>
      </c>
      <c r="F30" s="16">
        <f>F31+F32</f>
        <v>30.779999999999998</v>
      </c>
    </row>
    <row r="31" spans="1:6" s="3" customFormat="1" ht="22.5" customHeight="1">
      <c r="A31" s="34" t="s">
        <v>25</v>
      </c>
      <c r="B31" s="32">
        <f t="shared" si="0"/>
        <v>58.131</v>
      </c>
      <c r="C31" s="8"/>
      <c r="D31" s="8"/>
      <c r="E31" s="15">
        <f>45.207</f>
        <v>45.207</v>
      </c>
      <c r="F31" s="16">
        <v>12.924</v>
      </c>
    </row>
    <row r="32" spans="1:6" s="3" customFormat="1" ht="24.75" customHeight="1">
      <c r="A32" s="34" t="s">
        <v>22</v>
      </c>
      <c r="B32" s="32">
        <f t="shared" si="0"/>
        <v>17.855999999999998</v>
      </c>
      <c r="C32" s="8"/>
      <c r="D32" s="8"/>
      <c r="E32" s="15">
        <f>E33+E34</f>
        <v>0</v>
      </c>
      <c r="F32" s="16">
        <f>F33+F34</f>
        <v>17.855999999999998</v>
      </c>
    </row>
    <row r="33" spans="1:6" s="3" customFormat="1" ht="18" customHeight="1">
      <c r="A33" s="34" t="s">
        <v>23</v>
      </c>
      <c r="B33" s="32">
        <f t="shared" si="0"/>
        <v>14.411</v>
      </c>
      <c r="C33" s="11"/>
      <c r="D33" s="11"/>
      <c r="E33" s="11"/>
      <c r="F33" s="12">
        <v>14.411</v>
      </c>
    </row>
    <row r="34" spans="1:6" s="3" customFormat="1" ht="18" customHeight="1">
      <c r="A34" s="34" t="s">
        <v>24</v>
      </c>
      <c r="B34" s="32">
        <f t="shared" si="0"/>
        <v>3.445</v>
      </c>
      <c r="C34" s="11"/>
      <c r="D34" s="11"/>
      <c r="E34" s="11"/>
      <c r="F34" s="12">
        <f>3.445</f>
        <v>3.445</v>
      </c>
    </row>
    <row r="35" spans="1:6" s="3" customFormat="1" ht="25.5" customHeight="1">
      <c r="A35" s="69" t="s">
        <v>40</v>
      </c>
      <c r="B35" s="32">
        <f t="shared" si="0"/>
        <v>0</v>
      </c>
      <c r="C35" s="21"/>
      <c r="D35" s="21"/>
      <c r="E35" s="15">
        <f>E36+E37</f>
        <v>0</v>
      </c>
      <c r="F35" s="16">
        <f>F36+F37</f>
        <v>0</v>
      </c>
    </row>
    <row r="36" spans="1:6" s="3" customFormat="1" ht="23.25" customHeight="1">
      <c r="A36" s="34" t="s">
        <v>25</v>
      </c>
      <c r="B36" s="32">
        <f t="shared" si="0"/>
        <v>0</v>
      </c>
      <c r="C36" s="8"/>
      <c r="D36" s="8"/>
      <c r="E36" s="8"/>
      <c r="F36" s="9"/>
    </row>
    <row r="37" spans="1:6" s="3" customFormat="1" ht="23.25" customHeight="1">
      <c r="A37" s="34" t="s">
        <v>22</v>
      </c>
      <c r="B37" s="32">
        <f t="shared" si="0"/>
        <v>0</v>
      </c>
      <c r="C37" s="8"/>
      <c r="D37" s="8"/>
      <c r="E37" s="15">
        <f>E38+E39</f>
        <v>0</v>
      </c>
      <c r="F37" s="16">
        <f>F38+F39</f>
        <v>0</v>
      </c>
    </row>
    <row r="38" spans="1:6" s="3" customFormat="1" ht="23.25" customHeight="1">
      <c r="A38" s="34" t="s">
        <v>23</v>
      </c>
      <c r="B38" s="32">
        <f t="shared" si="0"/>
        <v>0</v>
      </c>
      <c r="C38" s="21"/>
      <c r="D38" s="21"/>
      <c r="E38" s="21"/>
      <c r="F38" s="25"/>
    </row>
    <row r="39" spans="1:6" s="3" customFormat="1" ht="23.25" customHeight="1">
      <c r="A39" s="34" t="s">
        <v>24</v>
      </c>
      <c r="B39" s="32">
        <f t="shared" si="0"/>
        <v>0</v>
      </c>
      <c r="C39" s="21"/>
      <c r="D39" s="21"/>
      <c r="E39" s="21"/>
      <c r="F39" s="25"/>
    </row>
    <row r="40" spans="1:6" s="3" customFormat="1" ht="42" customHeight="1">
      <c r="A40" s="69" t="s">
        <v>41</v>
      </c>
      <c r="B40" s="32">
        <f t="shared" si="0"/>
        <v>0</v>
      </c>
      <c r="C40" s="21"/>
      <c r="D40" s="21"/>
      <c r="E40" s="15">
        <f>E41+E42</f>
        <v>0</v>
      </c>
      <c r="F40" s="16">
        <f>F41+F42</f>
        <v>0</v>
      </c>
    </row>
    <row r="41" spans="1:6" s="3" customFormat="1" ht="19.5" customHeight="1">
      <c r="A41" s="34" t="s">
        <v>25</v>
      </c>
      <c r="B41" s="32">
        <f t="shared" si="0"/>
        <v>0</v>
      </c>
      <c r="C41" s="8"/>
      <c r="D41" s="8"/>
      <c r="E41" s="8"/>
      <c r="F41" s="9"/>
    </row>
    <row r="42" spans="1:6" s="3" customFormat="1" ht="19.5" customHeight="1">
      <c r="A42" s="34" t="s">
        <v>22</v>
      </c>
      <c r="B42" s="32">
        <f t="shared" si="0"/>
        <v>0</v>
      </c>
      <c r="C42" s="8"/>
      <c r="D42" s="8"/>
      <c r="E42" s="15">
        <f>E43+E44</f>
        <v>0</v>
      </c>
      <c r="F42" s="16">
        <f>F43+F44</f>
        <v>0</v>
      </c>
    </row>
    <row r="43" spans="1:6" s="3" customFormat="1" ht="19.5" customHeight="1">
      <c r="A43" s="34" t="s">
        <v>23</v>
      </c>
      <c r="B43" s="32">
        <f t="shared" si="0"/>
        <v>0</v>
      </c>
      <c r="C43" s="21"/>
      <c r="D43" s="21"/>
      <c r="E43" s="21"/>
      <c r="F43" s="25"/>
    </row>
    <row r="44" spans="1:6" s="3" customFormat="1" ht="19.5" customHeight="1">
      <c r="A44" s="34" t="s">
        <v>24</v>
      </c>
      <c r="B44" s="32">
        <f t="shared" si="0"/>
        <v>0</v>
      </c>
      <c r="C44" s="21"/>
      <c r="D44" s="21"/>
      <c r="E44" s="21"/>
      <c r="F44" s="25"/>
    </row>
    <row r="45" spans="1:6" s="3" customFormat="1" ht="24.75" customHeight="1">
      <c r="A45" s="69" t="s">
        <v>11</v>
      </c>
      <c r="B45" s="32">
        <f t="shared" si="0"/>
        <v>1966.2710000000002</v>
      </c>
      <c r="C45" s="15">
        <f>C46+C47</f>
        <v>0</v>
      </c>
      <c r="D45" s="8"/>
      <c r="E45" s="15">
        <f>E46+E47</f>
        <v>1481.0800000000002</v>
      </c>
      <c r="F45" s="16">
        <f>F46+F47</f>
        <v>485.191</v>
      </c>
    </row>
    <row r="46" spans="1:6" s="3" customFormat="1" ht="24.75" customHeight="1">
      <c r="A46" s="34" t="s">
        <v>25</v>
      </c>
      <c r="B46" s="32">
        <f t="shared" si="0"/>
        <v>1568.8500000000001</v>
      </c>
      <c r="C46" s="8"/>
      <c r="D46" s="8"/>
      <c r="E46" s="15">
        <v>1470.237</v>
      </c>
      <c r="F46" s="16">
        <v>98.613</v>
      </c>
    </row>
    <row r="47" spans="1:6" s="3" customFormat="1" ht="24.75" customHeight="1">
      <c r="A47" s="34" t="s">
        <v>22</v>
      </c>
      <c r="B47" s="32">
        <f t="shared" si="0"/>
        <v>397.421</v>
      </c>
      <c r="C47" s="8"/>
      <c r="D47" s="8"/>
      <c r="E47" s="15">
        <f>E48+E49</f>
        <v>10.843</v>
      </c>
      <c r="F47" s="16">
        <f>F48+F49</f>
        <v>386.578</v>
      </c>
    </row>
    <row r="48" spans="1:6" s="3" customFormat="1" ht="24.75" customHeight="1">
      <c r="A48" s="34" t="s">
        <v>23</v>
      </c>
      <c r="B48" s="32">
        <f t="shared" si="0"/>
        <v>308.09</v>
      </c>
      <c r="C48" s="8"/>
      <c r="D48" s="8"/>
      <c r="E48" s="11">
        <v>9.38</v>
      </c>
      <c r="F48" s="12">
        <f>280.25+18.46</f>
        <v>298.71</v>
      </c>
    </row>
    <row r="49" spans="1:6" s="3" customFormat="1" ht="24.75" customHeight="1">
      <c r="A49" s="34" t="s">
        <v>24</v>
      </c>
      <c r="B49" s="32">
        <f t="shared" si="0"/>
        <v>89.33099999999999</v>
      </c>
      <c r="C49" s="8"/>
      <c r="D49" s="8"/>
      <c r="E49" s="11">
        <v>1.463</v>
      </c>
      <c r="F49" s="12">
        <v>87.868</v>
      </c>
    </row>
    <row r="50" spans="1:6" s="3" customFormat="1" ht="24.75" customHeight="1">
      <c r="A50" s="69" t="s">
        <v>5</v>
      </c>
      <c r="B50" s="32">
        <f t="shared" si="0"/>
        <v>1757.6639999999998</v>
      </c>
      <c r="C50" s="15">
        <f>C51+C52</f>
        <v>346.058</v>
      </c>
      <c r="D50" s="8"/>
      <c r="E50" s="15">
        <f>E51+E52</f>
        <v>682.218</v>
      </c>
      <c r="F50" s="16">
        <f>F51+F52</f>
        <v>729.3879999999999</v>
      </c>
    </row>
    <row r="51" spans="1:6" s="3" customFormat="1" ht="24.75" customHeight="1">
      <c r="A51" s="34" t="s">
        <v>25</v>
      </c>
      <c r="B51" s="32">
        <f t="shared" si="0"/>
        <v>868.357</v>
      </c>
      <c r="C51" s="15">
        <v>346.058</v>
      </c>
      <c r="D51" s="8"/>
      <c r="E51" s="15">
        <v>257.12</v>
      </c>
      <c r="F51" s="16">
        <v>265.179</v>
      </c>
    </row>
    <row r="52" spans="1:6" s="3" customFormat="1" ht="24.75" customHeight="1">
      <c r="A52" s="34" t="s">
        <v>22</v>
      </c>
      <c r="B52" s="32">
        <f t="shared" si="0"/>
        <v>889.307</v>
      </c>
      <c r="C52" s="8"/>
      <c r="D52" s="8"/>
      <c r="E52" s="15">
        <f>E53+E54</f>
        <v>425.09799999999996</v>
      </c>
      <c r="F52" s="16">
        <f>F53+F54</f>
        <v>464.209</v>
      </c>
    </row>
    <row r="53" spans="1:6" s="3" customFormat="1" ht="24.75" customHeight="1">
      <c r="A53" s="34" t="s">
        <v>23</v>
      </c>
      <c r="B53" s="32">
        <f t="shared" si="0"/>
        <v>887.627</v>
      </c>
      <c r="C53" s="11"/>
      <c r="D53" s="11"/>
      <c r="E53" s="11">
        <f>421.864+1.554</f>
        <v>423.41799999999995</v>
      </c>
      <c r="F53" s="12">
        <v>464.209</v>
      </c>
    </row>
    <row r="54" spans="1:6" s="3" customFormat="1" ht="24.75" customHeight="1">
      <c r="A54" s="34" t="s">
        <v>24</v>
      </c>
      <c r="B54" s="32">
        <f t="shared" si="0"/>
        <v>1.68</v>
      </c>
      <c r="C54" s="11"/>
      <c r="D54" s="11"/>
      <c r="E54" s="15">
        <v>1.68</v>
      </c>
      <c r="F54" s="12"/>
    </row>
    <row r="55" spans="1:6" s="3" customFormat="1" ht="50.25" customHeight="1">
      <c r="A55" s="69" t="s">
        <v>12</v>
      </c>
      <c r="B55" s="32">
        <f t="shared" si="0"/>
        <v>5084.622</v>
      </c>
      <c r="C55" s="15">
        <f>C56+C57</f>
        <v>0</v>
      </c>
      <c r="D55" s="8"/>
      <c r="E55" s="15">
        <f>E56+E57</f>
        <v>1286.6909999999998</v>
      </c>
      <c r="F55" s="16">
        <f>F56+F57</f>
        <v>3797.9310000000005</v>
      </c>
    </row>
    <row r="56" spans="1:6" s="3" customFormat="1" ht="26.25" customHeight="1">
      <c r="A56" s="34" t="s">
        <v>25</v>
      </c>
      <c r="B56" s="32">
        <f t="shared" si="0"/>
        <v>2616.8199999999997</v>
      </c>
      <c r="C56" s="8"/>
      <c r="D56" s="8"/>
      <c r="E56" s="15">
        <v>1144.408</v>
      </c>
      <c r="F56" s="16">
        <v>1472.412</v>
      </c>
    </row>
    <row r="57" spans="1:6" s="3" customFormat="1" ht="26.25" customHeight="1">
      <c r="A57" s="34" t="s">
        <v>22</v>
      </c>
      <c r="B57" s="32">
        <f t="shared" si="0"/>
        <v>2467.802</v>
      </c>
      <c r="C57" s="8"/>
      <c r="D57" s="8"/>
      <c r="E57" s="15">
        <f>E58+E59</f>
        <v>142.283</v>
      </c>
      <c r="F57" s="16">
        <f>F58+F59</f>
        <v>2325.5190000000002</v>
      </c>
    </row>
    <row r="58" spans="1:6" s="3" customFormat="1" ht="26.25" customHeight="1">
      <c r="A58" s="34" t="s">
        <v>23</v>
      </c>
      <c r="B58" s="32">
        <f t="shared" si="0"/>
        <v>599.661</v>
      </c>
      <c r="C58" s="10"/>
      <c r="D58" s="8"/>
      <c r="E58" s="11">
        <v>22.055</v>
      </c>
      <c r="F58" s="12">
        <v>577.606</v>
      </c>
    </row>
    <row r="59" spans="1:6" s="3" customFormat="1" ht="26.25" customHeight="1">
      <c r="A59" s="34" t="s">
        <v>24</v>
      </c>
      <c r="B59" s="32">
        <f t="shared" si="0"/>
        <v>1868.141</v>
      </c>
      <c r="C59" s="10"/>
      <c r="D59" s="8"/>
      <c r="E59" s="11">
        <v>120.228</v>
      </c>
      <c r="F59" s="12">
        <v>1747.913</v>
      </c>
    </row>
    <row r="60" spans="1:6" s="3" customFormat="1" ht="24.75" customHeight="1">
      <c r="A60" s="70" t="s">
        <v>13</v>
      </c>
      <c r="B60" s="32">
        <f t="shared" si="0"/>
        <v>165.138</v>
      </c>
      <c r="C60" s="10"/>
      <c r="D60" s="8"/>
      <c r="E60" s="8">
        <f>E61+E62</f>
        <v>87.354</v>
      </c>
      <c r="F60" s="9">
        <f>F61+F62</f>
        <v>77.784</v>
      </c>
    </row>
    <row r="61" spans="1:6" s="3" customFormat="1" ht="21.75" customHeight="1">
      <c r="A61" s="34" t="s">
        <v>25</v>
      </c>
      <c r="B61" s="32">
        <f t="shared" si="0"/>
        <v>165.138</v>
      </c>
      <c r="C61" s="8"/>
      <c r="D61" s="8"/>
      <c r="E61" s="15">
        <v>87.354</v>
      </c>
      <c r="F61" s="16">
        <v>77.784</v>
      </c>
    </row>
    <row r="62" spans="1:6" s="3" customFormat="1" ht="16.5" customHeight="1">
      <c r="A62" s="34" t="s">
        <v>22</v>
      </c>
      <c r="B62" s="32">
        <f t="shared" si="0"/>
        <v>0</v>
      </c>
      <c r="C62" s="8"/>
      <c r="D62" s="8"/>
      <c r="E62" s="15">
        <f>E63+E64</f>
        <v>0</v>
      </c>
      <c r="F62" s="16">
        <f>F63+F64</f>
        <v>0</v>
      </c>
    </row>
    <row r="63" spans="1:6" s="3" customFormat="1" ht="18" customHeight="1">
      <c r="A63" s="34" t="s">
        <v>23</v>
      </c>
      <c r="B63" s="32">
        <f t="shared" si="0"/>
        <v>0</v>
      </c>
      <c r="C63" s="10"/>
      <c r="D63" s="8"/>
      <c r="E63" s="10"/>
      <c r="F63" s="17"/>
    </row>
    <row r="64" spans="1:6" s="3" customFormat="1" ht="18" customHeight="1">
      <c r="A64" s="34" t="s">
        <v>24</v>
      </c>
      <c r="B64" s="32">
        <f t="shared" si="0"/>
        <v>0</v>
      </c>
      <c r="C64" s="10"/>
      <c r="D64" s="8"/>
      <c r="E64" s="10"/>
      <c r="F64" s="17"/>
    </row>
    <row r="65" spans="1:6" s="3" customFormat="1" ht="24.75" customHeight="1">
      <c r="A65" s="70" t="s">
        <v>4</v>
      </c>
      <c r="B65" s="32">
        <f t="shared" si="0"/>
        <v>600.015</v>
      </c>
      <c r="C65" s="21">
        <f>C66+C67</f>
        <v>600.015</v>
      </c>
      <c r="D65" s="8"/>
      <c r="E65" s="8"/>
      <c r="F65" s="9"/>
    </row>
    <row r="66" spans="1:6" s="3" customFormat="1" ht="21.75" customHeight="1">
      <c r="A66" s="34" t="s">
        <v>25</v>
      </c>
      <c r="B66" s="32">
        <f t="shared" si="0"/>
        <v>600.015</v>
      </c>
      <c r="C66" s="15">
        <v>600.015</v>
      </c>
      <c r="D66" s="8"/>
      <c r="E66" s="15">
        <f>E65-E67</f>
        <v>0</v>
      </c>
      <c r="F66" s="16">
        <f>F65-F67</f>
        <v>0</v>
      </c>
    </row>
    <row r="67" spans="1:6" s="3" customFormat="1" ht="18" customHeight="1">
      <c r="A67" s="34" t="s">
        <v>22</v>
      </c>
      <c r="B67" s="32">
        <f t="shared" si="0"/>
        <v>0</v>
      </c>
      <c r="C67" s="15">
        <f>C68+C69</f>
        <v>0</v>
      </c>
      <c r="D67" s="8"/>
      <c r="E67" s="15">
        <f>E68+E69</f>
        <v>0</v>
      </c>
      <c r="F67" s="16">
        <f>F68+F69</f>
        <v>0</v>
      </c>
    </row>
    <row r="68" spans="1:6" s="3" customFormat="1" ht="19.5" customHeight="1">
      <c r="A68" s="34" t="s">
        <v>23</v>
      </c>
      <c r="B68" s="32">
        <f t="shared" si="0"/>
        <v>0</v>
      </c>
      <c r="C68" s="11"/>
      <c r="D68" s="8"/>
      <c r="E68" s="8"/>
      <c r="F68" s="9"/>
    </row>
    <row r="69" spans="1:6" s="3" customFormat="1" ht="19.5" customHeight="1" thickBot="1">
      <c r="A69" s="35" t="s">
        <v>24</v>
      </c>
      <c r="B69" s="33">
        <f t="shared" si="0"/>
        <v>0</v>
      </c>
      <c r="C69" s="14"/>
      <c r="D69" s="13"/>
      <c r="E69" s="13"/>
      <c r="F69" s="18"/>
    </row>
    <row r="70" spans="1:6" s="4" customFormat="1" ht="28.5" customHeight="1">
      <c r="A70" s="105" t="s">
        <v>34</v>
      </c>
      <c r="B70" s="72">
        <f>C70+D70+E70+F70</f>
        <v>146.108</v>
      </c>
      <c r="C70" s="40"/>
      <c r="D70" s="40"/>
      <c r="E70" s="41">
        <v>146.108</v>
      </c>
      <c r="F70" s="42"/>
    </row>
    <row r="71" spans="1:6" s="4" customFormat="1" ht="28.5" customHeight="1">
      <c r="A71" s="39" t="s">
        <v>35</v>
      </c>
      <c r="B71" s="6">
        <f aca="true" t="shared" si="1" ref="B71:B79">C71+D71+E71+F71</f>
        <v>15.572</v>
      </c>
      <c r="C71" s="8"/>
      <c r="D71" s="8"/>
      <c r="E71" s="11">
        <v>15.572</v>
      </c>
      <c r="F71" s="9"/>
    </row>
    <row r="72" spans="1:6" s="4" customFormat="1" ht="28.5" customHeight="1">
      <c r="A72" s="39" t="s">
        <v>42</v>
      </c>
      <c r="B72" s="6">
        <f t="shared" si="1"/>
        <v>593.409</v>
      </c>
      <c r="C72" s="8"/>
      <c r="D72" s="8"/>
      <c r="E72" s="11">
        <v>526.021</v>
      </c>
      <c r="F72" s="12">
        <v>67.388</v>
      </c>
    </row>
    <row r="73" spans="1:6" s="4" customFormat="1" ht="28.5" customHeight="1">
      <c r="A73" s="48" t="s">
        <v>43</v>
      </c>
      <c r="B73" s="6">
        <f t="shared" si="1"/>
        <v>1343.33</v>
      </c>
      <c r="C73" s="75">
        <v>1335.1</v>
      </c>
      <c r="D73" s="75"/>
      <c r="E73" s="75"/>
      <c r="F73" s="76">
        <v>8.23</v>
      </c>
    </row>
    <row r="74" spans="1:6" s="4" customFormat="1" ht="28.5" customHeight="1">
      <c r="A74" s="39" t="s">
        <v>36</v>
      </c>
      <c r="B74" s="6">
        <f t="shared" si="1"/>
        <v>638.4770000000001</v>
      </c>
      <c r="C74" s="10">
        <v>388.286</v>
      </c>
      <c r="D74" s="10"/>
      <c r="E74" s="10">
        <v>164.318</v>
      </c>
      <c r="F74" s="17">
        <v>85.873</v>
      </c>
    </row>
    <row r="75" spans="1:6" s="4" customFormat="1" ht="28.5" customHeight="1">
      <c r="A75" s="39" t="s">
        <v>44</v>
      </c>
      <c r="B75" s="6">
        <f t="shared" si="1"/>
        <v>0</v>
      </c>
      <c r="C75" s="10"/>
      <c r="D75" s="10"/>
      <c r="E75" s="10"/>
      <c r="F75" s="17"/>
    </row>
    <row r="76" spans="1:6" s="4" customFormat="1" ht="28.5" customHeight="1">
      <c r="A76" s="48" t="s">
        <v>37</v>
      </c>
      <c r="B76" s="79">
        <f t="shared" si="1"/>
        <v>0</v>
      </c>
      <c r="C76" s="46"/>
      <c r="D76" s="46"/>
      <c r="E76" s="46"/>
      <c r="F76" s="47"/>
    </row>
    <row r="77" spans="1:6" s="4" customFormat="1" ht="36">
      <c r="A77" s="80" t="s">
        <v>38</v>
      </c>
      <c r="B77" s="79">
        <f t="shared" si="1"/>
        <v>0</v>
      </c>
      <c r="C77" s="46"/>
      <c r="D77" s="46"/>
      <c r="E77" s="46"/>
      <c r="F77" s="47"/>
    </row>
    <row r="78" spans="1:6" s="4" customFormat="1" ht="54.75" thickBot="1">
      <c r="A78" s="82" t="s">
        <v>39</v>
      </c>
      <c r="B78" s="83">
        <f t="shared" si="1"/>
        <v>0</v>
      </c>
      <c r="C78" s="84"/>
      <c r="D78" s="84"/>
      <c r="E78" s="84"/>
      <c r="F78" s="85"/>
    </row>
    <row r="79" spans="1:6" s="4" customFormat="1" ht="39" customHeight="1" thickBot="1">
      <c r="A79" s="38" t="s">
        <v>14</v>
      </c>
      <c r="B79" s="91">
        <f t="shared" si="1"/>
        <v>101461.593</v>
      </c>
      <c r="C79" s="92">
        <f>C5+C10+C15+C20+C25+C30+C35+C40+C45+C50+C55+C60+C65+C70+C70+C71+C72+C73+C74+C75+C76+C77+C78</f>
        <v>44854.013</v>
      </c>
      <c r="D79" s="92">
        <f>D5+D10+D15+D20+D25+D30+D35+D40+D45+D50+D55+D60+D65+D70+D70+D71+D72+D73+D74+D75+D76+D77+D78</f>
        <v>1358.6390000000001</v>
      </c>
      <c r="E79" s="92">
        <f>E5+E10+E15+E20+E25+E30+E35+E40+E45+E50+E55+E60+E65+E70+E71+E72+E73+E74+E75+E76+E77+E78</f>
        <v>22465.489</v>
      </c>
      <c r="F79" s="92">
        <f>F5+F10+F15+F20+F25+F30+F35+F40+F45+F50+F55+F60+F65+F70+F70+F71+F72+F73+F74+F75+F76+F77+F78</f>
        <v>32783.452</v>
      </c>
    </row>
    <row r="80" s="4" customFormat="1" ht="12.75"/>
    <row r="81" s="4" customFormat="1" ht="12.75"/>
    <row r="82" s="4" customFormat="1" ht="12.75"/>
    <row r="83" s="4" customFormat="1" ht="12.75"/>
    <row r="84" s="4" customFormat="1" ht="12.75"/>
    <row r="85" s="4" customFormat="1" ht="12.75"/>
    <row r="86" s="4" customFormat="1" ht="12.75"/>
    <row r="87" s="4" customFormat="1" ht="12.75"/>
    <row r="88" s="4" customFormat="1" ht="12.75"/>
    <row r="89" s="4" customFormat="1" ht="12.75"/>
  </sheetData>
  <mergeCells count="2">
    <mergeCell ref="A1:F1"/>
    <mergeCell ref="A2:F2"/>
  </mergeCells>
  <printOptions horizontalCentered="1"/>
  <pageMargins left="0.3937007874015748" right="0.3937007874015748" top="0.7874015748031497" bottom="0.3937007874015748" header="0.5118110236220472" footer="0.5118110236220472"/>
  <pageSetup fitToHeight="1" fitToWidth="1" horizontalDpi="600" verticalDpi="600" orientation="portrait" paperSize="9" scale="4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9"/>
  <sheetViews>
    <sheetView zoomScale="60" zoomScaleNormal="60" workbookViewId="0" topLeftCell="A55">
      <selection activeCell="E80" sqref="E80"/>
    </sheetView>
  </sheetViews>
  <sheetFormatPr defaultColWidth="9.00390625" defaultRowHeight="12.75"/>
  <cols>
    <col min="1" max="1" width="49.00390625" style="0" customWidth="1"/>
    <col min="2" max="2" width="24.25390625" style="0" customWidth="1"/>
    <col min="3" max="6" width="22.25390625" style="0" customWidth="1"/>
  </cols>
  <sheetData>
    <row r="1" spans="1:6" s="54" customFormat="1" ht="47.25" customHeight="1">
      <c r="A1" s="53" t="s">
        <v>45</v>
      </c>
      <c r="B1" s="53"/>
      <c r="C1" s="53"/>
      <c r="D1" s="53"/>
      <c r="E1" s="53"/>
      <c r="F1" s="53"/>
    </row>
    <row r="2" spans="1:6" s="57" customFormat="1" ht="23.25">
      <c r="A2" s="55" t="s">
        <v>51</v>
      </c>
      <c r="B2" s="55"/>
      <c r="C2" s="55"/>
      <c r="D2" s="56"/>
      <c r="E2" s="56"/>
      <c r="F2" s="56"/>
    </row>
    <row r="3" s="58" customFormat="1" ht="18.75" thickBot="1">
      <c r="F3" s="59" t="s">
        <v>46</v>
      </c>
    </row>
    <row r="4" spans="1:6" s="2" customFormat="1" ht="29.25" customHeight="1" thickBot="1">
      <c r="A4" s="61" t="s">
        <v>17</v>
      </c>
      <c r="B4" s="63"/>
      <c r="C4" s="63" t="s">
        <v>0</v>
      </c>
      <c r="D4" s="63" t="s">
        <v>1</v>
      </c>
      <c r="E4" s="63" t="s">
        <v>2</v>
      </c>
      <c r="F4" s="64" t="s">
        <v>3</v>
      </c>
    </row>
    <row r="5" spans="1:6" s="3" customFormat="1" ht="57.75" customHeight="1">
      <c r="A5" s="65" t="s">
        <v>7</v>
      </c>
      <c r="B5" s="66">
        <f aca="true" t="shared" si="0" ref="B5:B69">C5+D5+E5+F5</f>
        <v>73647.687</v>
      </c>
      <c r="C5" s="67">
        <f>C6+C7</f>
        <v>33491.286</v>
      </c>
      <c r="D5" s="67">
        <f>D6+D7</f>
        <v>1196.846</v>
      </c>
      <c r="E5" s="67">
        <f>E6+E7</f>
        <v>17646.58</v>
      </c>
      <c r="F5" s="68">
        <f>F6+F7</f>
        <v>21312.975</v>
      </c>
    </row>
    <row r="6" spans="1:6" s="3" customFormat="1" ht="27" customHeight="1">
      <c r="A6" s="34" t="s">
        <v>25</v>
      </c>
      <c r="B6" s="32">
        <f t="shared" si="0"/>
        <v>59311.089</v>
      </c>
      <c r="C6" s="8">
        <f>33491.286-C7</f>
        <v>33291.086</v>
      </c>
      <c r="D6" s="8">
        <f>1196.846-D7</f>
        <v>1195.556</v>
      </c>
      <c r="E6" s="8">
        <f>17646.58-E7</f>
        <v>17063.931</v>
      </c>
      <c r="F6" s="9">
        <f>21312.975-F7</f>
        <v>7760.515999999998</v>
      </c>
    </row>
    <row r="7" spans="1:6" s="3" customFormat="1" ht="20.25" customHeight="1">
      <c r="A7" s="34" t="s">
        <v>22</v>
      </c>
      <c r="B7" s="32">
        <f t="shared" si="0"/>
        <v>14336.598</v>
      </c>
      <c r="C7" s="15">
        <f>C8+C9</f>
        <v>200.20000000000002</v>
      </c>
      <c r="D7" s="15">
        <f>D8+D9</f>
        <v>1.29</v>
      </c>
      <c r="E7" s="15">
        <f>E8+E9</f>
        <v>582.649</v>
      </c>
      <c r="F7" s="16">
        <f>F8+F9</f>
        <v>13552.459</v>
      </c>
    </row>
    <row r="8" spans="1:6" s="3" customFormat="1" ht="21.75" customHeight="1">
      <c r="A8" s="34" t="s">
        <v>23</v>
      </c>
      <c r="B8" s="32">
        <f t="shared" si="0"/>
        <v>4066.742</v>
      </c>
      <c r="C8" s="11">
        <v>6.626</v>
      </c>
      <c r="D8" s="11"/>
      <c r="E8" s="11">
        <v>132.509</v>
      </c>
      <c r="F8" s="12">
        <v>3927.607</v>
      </c>
    </row>
    <row r="9" spans="1:6" s="3" customFormat="1" ht="24.75" customHeight="1">
      <c r="A9" s="34" t="s">
        <v>24</v>
      </c>
      <c r="B9" s="32">
        <f t="shared" si="0"/>
        <v>10269.856000000002</v>
      </c>
      <c r="C9" s="11">
        <v>193.574</v>
      </c>
      <c r="D9" s="11">
        <v>1.29</v>
      </c>
      <c r="E9" s="11">
        <v>450.14</v>
      </c>
      <c r="F9" s="12">
        <v>9624.852</v>
      </c>
    </row>
    <row r="10" spans="1:6" s="3" customFormat="1" ht="49.5" customHeight="1">
      <c r="A10" s="69" t="s">
        <v>15</v>
      </c>
      <c r="B10" s="32">
        <f t="shared" si="0"/>
        <v>4711.231</v>
      </c>
      <c r="C10" s="15">
        <f>C11+C12</f>
        <v>608.73</v>
      </c>
      <c r="D10" s="15"/>
      <c r="E10" s="15">
        <f>E11+E12</f>
        <v>1741.8270000000002</v>
      </c>
      <c r="F10" s="16">
        <f>F11+F12</f>
        <v>2360.674</v>
      </c>
    </row>
    <row r="11" spans="1:6" s="3" customFormat="1" ht="21.75" customHeight="1">
      <c r="A11" s="34" t="s">
        <v>25</v>
      </c>
      <c r="B11" s="32">
        <f t="shared" si="0"/>
        <v>2813.809</v>
      </c>
      <c r="C11" s="8">
        <v>553.75</v>
      </c>
      <c r="D11" s="8"/>
      <c r="E11" s="8">
        <v>1383.101</v>
      </c>
      <c r="F11" s="9">
        <v>876.958</v>
      </c>
    </row>
    <row r="12" spans="1:6" s="3" customFormat="1" ht="19.5" customHeight="1">
      <c r="A12" s="34" t="s">
        <v>22</v>
      </c>
      <c r="B12" s="32">
        <f t="shared" si="0"/>
        <v>1897.422</v>
      </c>
      <c r="C12" s="15">
        <f>C13+C14</f>
        <v>54.98</v>
      </c>
      <c r="D12" s="8"/>
      <c r="E12" s="15">
        <f>E13+E14</f>
        <v>358.726</v>
      </c>
      <c r="F12" s="16">
        <f>F13+F14</f>
        <v>1483.716</v>
      </c>
    </row>
    <row r="13" spans="1:6" s="3" customFormat="1" ht="17.25" customHeight="1">
      <c r="A13" s="34" t="s">
        <v>23</v>
      </c>
      <c r="B13" s="32">
        <f t="shared" si="0"/>
        <v>1076.877</v>
      </c>
      <c r="C13" s="24"/>
      <c r="D13" s="24"/>
      <c r="E13" s="24">
        <v>67.481</v>
      </c>
      <c r="F13" s="25">
        <v>1009.396</v>
      </c>
    </row>
    <row r="14" spans="1:6" s="3" customFormat="1" ht="17.25" customHeight="1">
      <c r="A14" s="34" t="s">
        <v>24</v>
      </c>
      <c r="B14" s="32">
        <f t="shared" si="0"/>
        <v>820.5450000000001</v>
      </c>
      <c r="C14" s="24">
        <v>54.98</v>
      </c>
      <c r="D14" s="24"/>
      <c r="E14" s="24">
        <v>291.245</v>
      </c>
      <c r="F14" s="25">
        <v>474.32</v>
      </c>
    </row>
    <row r="15" spans="1:6" s="3" customFormat="1" ht="24.75" customHeight="1">
      <c r="A15" s="69" t="s">
        <v>6</v>
      </c>
      <c r="B15" s="32">
        <f t="shared" si="0"/>
        <v>1157.058</v>
      </c>
      <c r="C15" s="15">
        <f>C16+C17</f>
        <v>1156.654</v>
      </c>
      <c r="D15" s="8"/>
      <c r="E15" s="8"/>
      <c r="F15" s="16">
        <f>F16+F17</f>
        <v>0.404</v>
      </c>
    </row>
    <row r="16" spans="1:6" s="3" customFormat="1" ht="19.5" customHeight="1">
      <c r="A16" s="34" t="s">
        <v>25</v>
      </c>
      <c r="B16" s="32">
        <f t="shared" si="0"/>
        <v>1156.654</v>
      </c>
      <c r="C16" s="8">
        <v>1156.654</v>
      </c>
      <c r="D16" s="8"/>
      <c r="E16" s="15"/>
      <c r="F16" s="16"/>
    </row>
    <row r="17" spans="1:6" s="3" customFormat="1" ht="18" customHeight="1">
      <c r="A17" s="34" t="s">
        <v>22</v>
      </c>
      <c r="B17" s="32">
        <f t="shared" si="0"/>
        <v>0.404</v>
      </c>
      <c r="C17" s="8"/>
      <c r="D17" s="8"/>
      <c r="E17" s="15">
        <f>E18+E19</f>
        <v>0</v>
      </c>
      <c r="F17" s="16">
        <f>F18+F19</f>
        <v>0.404</v>
      </c>
    </row>
    <row r="18" spans="1:6" s="3" customFormat="1" ht="19.5" customHeight="1">
      <c r="A18" s="34" t="s">
        <v>23</v>
      </c>
      <c r="B18" s="32">
        <f t="shared" si="0"/>
        <v>0</v>
      </c>
      <c r="C18" s="21"/>
      <c r="D18" s="21"/>
      <c r="E18" s="21"/>
      <c r="F18" s="22"/>
    </row>
    <row r="19" spans="1:6" s="3" customFormat="1" ht="19.5" customHeight="1">
      <c r="A19" s="34" t="s">
        <v>24</v>
      </c>
      <c r="B19" s="32">
        <f t="shared" si="0"/>
        <v>0.404</v>
      </c>
      <c r="C19" s="21"/>
      <c r="D19" s="21"/>
      <c r="E19" s="21"/>
      <c r="F19" s="25">
        <v>0.404</v>
      </c>
    </row>
    <row r="20" spans="1:6" s="3" customFormat="1" ht="51.75" customHeight="1">
      <c r="A20" s="69" t="s">
        <v>8</v>
      </c>
      <c r="B20" s="32">
        <f t="shared" si="0"/>
        <v>253.056</v>
      </c>
      <c r="C20" s="15">
        <f>C21+C22</f>
        <v>9.06</v>
      </c>
      <c r="D20" s="15">
        <f>D21+D22</f>
        <v>133.008</v>
      </c>
      <c r="E20" s="15">
        <f>E21+E22</f>
        <v>17.84</v>
      </c>
      <c r="F20" s="16">
        <f>F21+F22</f>
        <v>93.148</v>
      </c>
    </row>
    <row r="21" spans="1:6" s="3" customFormat="1" ht="21.75" customHeight="1">
      <c r="A21" s="34" t="s">
        <v>25</v>
      </c>
      <c r="B21" s="32">
        <f t="shared" si="0"/>
        <v>232.656</v>
      </c>
      <c r="C21" s="8">
        <v>9.06</v>
      </c>
      <c r="D21" s="8">
        <v>133.008</v>
      </c>
      <c r="E21" s="8">
        <v>17.84</v>
      </c>
      <c r="F21" s="9">
        <v>72.748</v>
      </c>
    </row>
    <row r="22" spans="1:6" s="3" customFormat="1" ht="21" customHeight="1">
      <c r="A22" s="34" t="s">
        <v>22</v>
      </c>
      <c r="B22" s="32">
        <f t="shared" si="0"/>
        <v>20.4</v>
      </c>
      <c r="C22" s="15">
        <f>C23+C24</f>
        <v>0</v>
      </c>
      <c r="D22" s="8"/>
      <c r="E22" s="15">
        <f>E23+E24</f>
        <v>0</v>
      </c>
      <c r="F22" s="16">
        <f>F23+F24</f>
        <v>20.4</v>
      </c>
    </row>
    <row r="23" spans="1:6" s="3" customFormat="1" ht="21.75" customHeight="1">
      <c r="A23" s="34" t="s">
        <v>23</v>
      </c>
      <c r="B23" s="32">
        <f t="shared" si="0"/>
        <v>20.4</v>
      </c>
      <c r="C23" s="21"/>
      <c r="D23" s="21"/>
      <c r="E23" s="24"/>
      <c r="F23" s="25">
        <v>20.4</v>
      </c>
    </row>
    <row r="24" spans="1:6" s="3" customFormat="1" ht="21" customHeight="1">
      <c r="A24" s="34" t="s">
        <v>24</v>
      </c>
      <c r="B24" s="32">
        <f t="shared" si="0"/>
        <v>0</v>
      </c>
      <c r="C24" s="21"/>
      <c r="D24" s="21"/>
      <c r="E24" s="21"/>
      <c r="F24" s="22"/>
    </row>
    <row r="25" spans="1:6" s="3" customFormat="1" ht="62.25" customHeight="1">
      <c r="A25" s="69" t="s">
        <v>9</v>
      </c>
      <c r="B25" s="32">
        <f t="shared" si="0"/>
        <v>10867.798</v>
      </c>
      <c r="C25" s="15">
        <f>C26+C27</f>
        <v>6155.76</v>
      </c>
      <c r="D25" s="15">
        <f>D26+D27</f>
        <v>0</v>
      </c>
      <c r="E25" s="15">
        <f>E26+E27</f>
        <v>1395.546</v>
      </c>
      <c r="F25" s="16">
        <f>F26+F27</f>
        <v>3316.492</v>
      </c>
    </row>
    <row r="26" spans="1:6" s="3" customFormat="1" ht="19.5" customHeight="1">
      <c r="A26" s="34" t="s">
        <v>25</v>
      </c>
      <c r="B26" s="32">
        <f t="shared" si="0"/>
        <v>8655.063</v>
      </c>
      <c r="C26" s="8">
        <v>6155.76</v>
      </c>
      <c r="D26" s="8"/>
      <c r="E26" s="8">
        <v>1395.546</v>
      </c>
      <c r="F26" s="9">
        <v>1103.757</v>
      </c>
    </row>
    <row r="27" spans="1:6" s="3" customFormat="1" ht="24.75" customHeight="1">
      <c r="A27" s="34" t="s">
        <v>22</v>
      </c>
      <c r="B27" s="32">
        <f t="shared" si="0"/>
        <v>2212.735</v>
      </c>
      <c r="C27" s="15">
        <f>C28+C29</f>
        <v>0</v>
      </c>
      <c r="D27" s="8"/>
      <c r="E27" s="15">
        <f>E28+E29</f>
        <v>0</v>
      </c>
      <c r="F27" s="16">
        <f>F28+F29</f>
        <v>2212.735</v>
      </c>
    </row>
    <row r="28" spans="1:6" s="3" customFormat="1" ht="25.5" customHeight="1">
      <c r="A28" s="34" t="s">
        <v>23</v>
      </c>
      <c r="B28" s="32">
        <f t="shared" si="0"/>
        <v>2189.13</v>
      </c>
      <c r="C28" s="21"/>
      <c r="D28" s="21"/>
      <c r="E28" s="24"/>
      <c r="F28" s="25">
        <f>2123.087+66.043</f>
        <v>2189.13</v>
      </c>
    </row>
    <row r="29" spans="1:6" s="3" customFormat="1" ht="20.25" customHeight="1">
      <c r="A29" s="34" t="s">
        <v>24</v>
      </c>
      <c r="B29" s="32">
        <f t="shared" si="0"/>
        <v>23.605</v>
      </c>
      <c r="C29" s="21"/>
      <c r="D29" s="21"/>
      <c r="E29" s="24"/>
      <c r="F29" s="25">
        <v>23.605</v>
      </c>
    </row>
    <row r="30" spans="1:6" s="3" customFormat="1" ht="50.25" customHeight="1">
      <c r="A30" s="69" t="s">
        <v>10</v>
      </c>
      <c r="B30" s="32">
        <f t="shared" si="0"/>
        <v>75.196</v>
      </c>
      <c r="C30" s="21"/>
      <c r="D30" s="21"/>
      <c r="E30" s="15">
        <f>E31+E32</f>
        <v>47.456</v>
      </c>
      <c r="F30" s="16">
        <f>F31+F32</f>
        <v>27.74</v>
      </c>
    </row>
    <row r="31" spans="1:6" s="3" customFormat="1" ht="22.5" customHeight="1">
      <c r="A31" s="34" t="s">
        <v>25</v>
      </c>
      <c r="B31" s="32">
        <f t="shared" si="0"/>
        <v>57.55500000000001</v>
      </c>
      <c r="C31" s="8"/>
      <c r="D31" s="8"/>
      <c r="E31" s="8">
        <v>47.456</v>
      </c>
      <c r="F31" s="9">
        <v>10.099</v>
      </c>
    </row>
    <row r="32" spans="1:6" s="3" customFormat="1" ht="24.75" customHeight="1">
      <c r="A32" s="34" t="s">
        <v>22</v>
      </c>
      <c r="B32" s="32">
        <f t="shared" si="0"/>
        <v>17.641</v>
      </c>
      <c r="C32" s="8"/>
      <c r="D32" s="8"/>
      <c r="E32" s="15">
        <f>E33+E34</f>
        <v>0</v>
      </c>
      <c r="F32" s="16">
        <f>F33+F34</f>
        <v>17.641</v>
      </c>
    </row>
    <row r="33" spans="1:6" s="3" customFormat="1" ht="18" customHeight="1">
      <c r="A33" s="34" t="s">
        <v>23</v>
      </c>
      <c r="B33" s="32">
        <f t="shared" si="0"/>
        <v>13.991</v>
      </c>
      <c r="C33" s="21"/>
      <c r="D33" s="21"/>
      <c r="E33" s="21"/>
      <c r="F33" s="25">
        <v>13.991</v>
      </c>
    </row>
    <row r="34" spans="1:6" s="3" customFormat="1" ht="18" customHeight="1">
      <c r="A34" s="34" t="s">
        <v>24</v>
      </c>
      <c r="B34" s="32">
        <f t="shared" si="0"/>
        <v>3.65</v>
      </c>
      <c r="C34" s="21"/>
      <c r="D34" s="21"/>
      <c r="E34" s="21"/>
      <c r="F34" s="25">
        <v>3.65</v>
      </c>
    </row>
    <row r="35" spans="1:6" s="3" customFormat="1" ht="25.5" customHeight="1">
      <c r="A35" s="69" t="s">
        <v>40</v>
      </c>
      <c r="B35" s="32">
        <f t="shared" si="0"/>
        <v>0</v>
      </c>
      <c r="C35" s="21"/>
      <c r="D35" s="21"/>
      <c r="E35" s="15">
        <f>E36+E37</f>
        <v>0</v>
      </c>
      <c r="F35" s="16">
        <f>F36+F37</f>
        <v>0</v>
      </c>
    </row>
    <row r="36" spans="1:6" s="3" customFormat="1" ht="23.25" customHeight="1">
      <c r="A36" s="34" t="s">
        <v>25</v>
      </c>
      <c r="B36" s="32">
        <f t="shared" si="0"/>
        <v>0</v>
      </c>
      <c r="C36" s="8"/>
      <c r="D36" s="8"/>
      <c r="E36" s="8"/>
      <c r="F36" s="9"/>
    </row>
    <row r="37" spans="1:6" s="3" customFormat="1" ht="23.25" customHeight="1">
      <c r="A37" s="34" t="s">
        <v>22</v>
      </c>
      <c r="B37" s="32">
        <f t="shared" si="0"/>
        <v>0</v>
      </c>
      <c r="C37" s="8"/>
      <c r="D37" s="8"/>
      <c r="E37" s="15">
        <f>E38+E39</f>
        <v>0</v>
      </c>
      <c r="F37" s="16">
        <f>F38+F39</f>
        <v>0</v>
      </c>
    </row>
    <row r="38" spans="1:6" s="3" customFormat="1" ht="23.25" customHeight="1">
      <c r="A38" s="34" t="s">
        <v>23</v>
      </c>
      <c r="B38" s="32">
        <f t="shared" si="0"/>
        <v>0</v>
      </c>
      <c r="C38" s="21"/>
      <c r="D38" s="21"/>
      <c r="E38" s="21"/>
      <c r="F38" s="25"/>
    </row>
    <row r="39" spans="1:6" s="3" customFormat="1" ht="23.25" customHeight="1">
      <c r="A39" s="34" t="s">
        <v>24</v>
      </c>
      <c r="B39" s="32">
        <f t="shared" si="0"/>
        <v>0</v>
      </c>
      <c r="C39" s="21"/>
      <c r="D39" s="21"/>
      <c r="E39" s="21"/>
      <c r="F39" s="25"/>
    </row>
    <row r="40" spans="1:6" s="3" customFormat="1" ht="42" customHeight="1">
      <c r="A40" s="69" t="s">
        <v>41</v>
      </c>
      <c r="B40" s="32">
        <f t="shared" si="0"/>
        <v>0</v>
      </c>
      <c r="C40" s="21"/>
      <c r="D40" s="21"/>
      <c r="E40" s="15">
        <f>E41+E42</f>
        <v>0</v>
      </c>
      <c r="F40" s="16">
        <f>F41+F42</f>
        <v>0</v>
      </c>
    </row>
    <row r="41" spans="1:6" s="3" customFormat="1" ht="19.5" customHeight="1">
      <c r="A41" s="34" t="s">
        <v>25</v>
      </c>
      <c r="B41" s="32">
        <f t="shared" si="0"/>
        <v>0</v>
      </c>
      <c r="C41" s="8"/>
      <c r="D41" s="8"/>
      <c r="E41" s="8"/>
      <c r="F41" s="9"/>
    </row>
    <row r="42" spans="1:6" s="3" customFormat="1" ht="19.5" customHeight="1">
      <c r="A42" s="34" t="s">
        <v>22</v>
      </c>
      <c r="B42" s="32">
        <f t="shared" si="0"/>
        <v>0</v>
      </c>
      <c r="C42" s="8"/>
      <c r="D42" s="8"/>
      <c r="E42" s="15">
        <f>E43+E44</f>
        <v>0</v>
      </c>
      <c r="F42" s="16">
        <f>F43+F44</f>
        <v>0</v>
      </c>
    </row>
    <row r="43" spans="1:6" s="3" customFormat="1" ht="19.5" customHeight="1">
      <c r="A43" s="34" t="s">
        <v>23</v>
      </c>
      <c r="B43" s="32">
        <f t="shared" si="0"/>
        <v>0</v>
      </c>
      <c r="C43" s="21"/>
      <c r="D43" s="21"/>
      <c r="E43" s="21"/>
      <c r="F43" s="25"/>
    </row>
    <row r="44" spans="1:6" s="3" customFormat="1" ht="19.5" customHeight="1">
      <c r="A44" s="34" t="s">
        <v>24</v>
      </c>
      <c r="B44" s="32">
        <f t="shared" si="0"/>
        <v>0</v>
      </c>
      <c r="C44" s="21"/>
      <c r="D44" s="21"/>
      <c r="E44" s="21"/>
      <c r="F44" s="25"/>
    </row>
    <row r="45" spans="1:6" s="3" customFormat="1" ht="24.75" customHeight="1">
      <c r="A45" s="69" t="s">
        <v>11</v>
      </c>
      <c r="B45" s="32">
        <f t="shared" si="0"/>
        <v>2147.043</v>
      </c>
      <c r="C45" s="8"/>
      <c r="D45" s="8"/>
      <c r="E45" s="15">
        <f>E46+E47</f>
        <v>1655.586</v>
      </c>
      <c r="F45" s="16">
        <f>F46+F47</f>
        <v>491.457</v>
      </c>
    </row>
    <row r="46" spans="1:6" s="3" customFormat="1" ht="24.75" customHeight="1">
      <c r="A46" s="34" t="s">
        <v>25</v>
      </c>
      <c r="B46" s="32">
        <f t="shared" si="0"/>
        <v>1738.896</v>
      </c>
      <c r="C46" s="8"/>
      <c r="D46" s="8"/>
      <c r="E46" s="8">
        <v>1639.667</v>
      </c>
      <c r="F46" s="9">
        <v>99.229</v>
      </c>
    </row>
    <row r="47" spans="1:6" s="3" customFormat="1" ht="24.75" customHeight="1">
      <c r="A47" s="34" t="s">
        <v>22</v>
      </c>
      <c r="B47" s="32">
        <f t="shared" si="0"/>
        <v>408.147</v>
      </c>
      <c r="C47" s="8"/>
      <c r="D47" s="8"/>
      <c r="E47" s="15">
        <f>E48+E49</f>
        <v>15.919</v>
      </c>
      <c r="F47" s="16">
        <f>F48+F49</f>
        <v>392.228</v>
      </c>
    </row>
    <row r="48" spans="1:6" s="3" customFormat="1" ht="24.75" customHeight="1">
      <c r="A48" s="34" t="s">
        <v>23</v>
      </c>
      <c r="B48" s="32">
        <f t="shared" si="0"/>
        <v>314.34</v>
      </c>
      <c r="C48" s="8"/>
      <c r="D48" s="8"/>
      <c r="E48" s="24">
        <v>14.58</v>
      </c>
      <c r="F48" s="25">
        <f>274.5+25.26</f>
        <v>299.76</v>
      </c>
    </row>
    <row r="49" spans="1:6" s="3" customFormat="1" ht="24.75" customHeight="1">
      <c r="A49" s="34" t="s">
        <v>24</v>
      </c>
      <c r="B49" s="32">
        <f t="shared" si="0"/>
        <v>93.807</v>
      </c>
      <c r="C49" s="8"/>
      <c r="D49" s="8"/>
      <c r="E49" s="24">
        <v>1.339</v>
      </c>
      <c r="F49" s="25">
        <v>92.468</v>
      </c>
    </row>
    <row r="50" spans="1:6" s="3" customFormat="1" ht="24.75" customHeight="1">
      <c r="A50" s="69" t="s">
        <v>5</v>
      </c>
      <c r="B50" s="32">
        <f t="shared" si="0"/>
        <v>1786.488</v>
      </c>
      <c r="C50" s="15">
        <f>C51+C52</f>
        <v>341.761</v>
      </c>
      <c r="D50" s="21"/>
      <c r="E50" s="15">
        <f>E51+E52</f>
        <v>733.851</v>
      </c>
      <c r="F50" s="16">
        <f>F51+F52</f>
        <v>710.876</v>
      </c>
    </row>
    <row r="51" spans="1:6" s="3" customFormat="1" ht="24.75" customHeight="1">
      <c r="A51" s="34" t="s">
        <v>25</v>
      </c>
      <c r="B51" s="32">
        <f t="shared" si="0"/>
        <v>896.4280000000001</v>
      </c>
      <c r="C51" s="15">
        <v>341.761</v>
      </c>
      <c r="D51" s="15"/>
      <c r="E51" s="8">
        <v>283.514</v>
      </c>
      <c r="F51" s="9">
        <v>271.153</v>
      </c>
    </row>
    <row r="52" spans="1:6" s="3" customFormat="1" ht="24.75" customHeight="1">
      <c r="A52" s="34" t="s">
        <v>22</v>
      </c>
      <c r="B52" s="32">
        <f t="shared" si="0"/>
        <v>890.06</v>
      </c>
      <c r="C52" s="8"/>
      <c r="D52" s="8"/>
      <c r="E52" s="15">
        <f>E53+E54</f>
        <v>450.337</v>
      </c>
      <c r="F52" s="16">
        <f>F53+F54</f>
        <v>439.72299999999996</v>
      </c>
    </row>
    <row r="53" spans="1:6" s="3" customFormat="1" ht="24.75" customHeight="1">
      <c r="A53" s="34" t="s">
        <v>23</v>
      </c>
      <c r="B53" s="32">
        <f t="shared" si="0"/>
        <v>888.02</v>
      </c>
      <c r="C53" s="21"/>
      <c r="D53" s="21"/>
      <c r="E53" s="24">
        <f>441.433+6.864</f>
        <v>448.29699999999997</v>
      </c>
      <c r="F53" s="25">
        <f>390.116+49.607</f>
        <v>439.72299999999996</v>
      </c>
    </row>
    <row r="54" spans="1:6" s="3" customFormat="1" ht="24.75" customHeight="1">
      <c r="A54" s="34" t="s">
        <v>24</v>
      </c>
      <c r="B54" s="32">
        <f t="shared" si="0"/>
        <v>2.04</v>
      </c>
      <c r="C54" s="21"/>
      <c r="D54" s="21"/>
      <c r="E54" s="21">
        <v>2.04</v>
      </c>
      <c r="F54" s="22"/>
    </row>
    <row r="55" spans="1:6" s="3" customFormat="1" ht="64.5" customHeight="1">
      <c r="A55" s="69" t="s">
        <v>12</v>
      </c>
      <c r="B55" s="32">
        <f t="shared" si="0"/>
        <v>5028.627</v>
      </c>
      <c r="C55" s="8"/>
      <c r="D55" s="8"/>
      <c r="E55" s="15">
        <f>E56+E57</f>
        <v>1178.845</v>
      </c>
      <c r="F55" s="16">
        <f>F56+F57</f>
        <v>3849.782</v>
      </c>
    </row>
    <row r="56" spans="1:6" s="3" customFormat="1" ht="26.25" customHeight="1">
      <c r="A56" s="34" t="s">
        <v>25</v>
      </c>
      <c r="B56" s="32">
        <f t="shared" si="0"/>
        <v>2358.325</v>
      </c>
      <c r="C56" s="8"/>
      <c r="D56" s="8"/>
      <c r="E56" s="15">
        <v>1062.134</v>
      </c>
      <c r="F56" s="16">
        <v>1296.191</v>
      </c>
    </row>
    <row r="57" spans="1:6" s="3" customFormat="1" ht="26.25" customHeight="1">
      <c r="A57" s="34" t="s">
        <v>22</v>
      </c>
      <c r="B57" s="32">
        <f t="shared" si="0"/>
        <v>2670.3019999999997</v>
      </c>
      <c r="C57" s="8"/>
      <c r="D57" s="8"/>
      <c r="E57" s="15">
        <f>E58+E59</f>
        <v>116.711</v>
      </c>
      <c r="F57" s="16">
        <f>F58+F59</f>
        <v>2553.591</v>
      </c>
    </row>
    <row r="58" spans="1:6" s="3" customFormat="1" ht="26.25" customHeight="1">
      <c r="A58" s="34" t="s">
        <v>23</v>
      </c>
      <c r="B58" s="32">
        <f t="shared" si="0"/>
        <v>650.94</v>
      </c>
      <c r="C58" s="8"/>
      <c r="D58" s="8"/>
      <c r="E58" s="24">
        <v>27.476</v>
      </c>
      <c r="F58" s="25">
        <v>623.464</v>
      </c>
    </row>
    <row r="59" spans="1:6" s="3" customFormat="1" ht="26.25" customHeight="1">
      <c r="A59" s="34" t="s">
        <v>24</v>
      </c>
      <c r="B59" s="32">
        <f t="shared" si="0"/>
        <v>2019.3619999999999</v>
      </c>
      <c r="C59" s="8"/>
      <c r="D59" s="8"/>
      <c r="E59" s="24">
        <v>89.235</v>
      </c>
      <c r="F59" s="25">
        <v>1930.127</v>
      </c>
    </row>
    <row r="60" spans="1:6" s="3" customFormat="1" ht="24.75" customHeight="1">
      <c r="A60" s="70" t="s">
        <v>13</v>
      </c>
      <c r="B60" s="32">
        <f t="shared" si="0"/>
        <v>145.608</v>
      </c>
      <c r="C60" s="8"/>
      <c r="D60" s="8"/>
      <c r="E60" s="8">
        <f>E61+E62</f>
        <v>70.632</v>
      </c>
      <c r="F60" s="9">
        <f>F61+F62</f>
        <v>74.976</v>
      </c>
    </row>
    <row r="61" spans="1:6" s="3" customFormat="1" ht="21.75" customHeight="1">
      <c r="A61" s="34" t="s">
        <v>25</v>
      </c>
      <c r="B61" s="32">
        <f t="shared" si="0"/>
        <v>145.608</v>
      </c>
      <c r="C61" s="8"/>
      <c r="D61" s="8"/>
      <c r="E61" s="15">
        <v>70.632</v>
      </c>
      <c r="F61" s="16">
        <v>74.976</v>
      </c>
    </row>
    <row r="62" spans="1:6" s="3" customFormat="1" ht="16.5" customHeight="1">
      <c r="A62" s="34" t="s">
        <v>22</v>
      </c>
      <c r="B62" s="32">
        <f t="shared" si="0"/>
        <v>0</v>
      </c>
      <c r="C62" s="8"/>
      <c r="D62" s="8"/>
      <c r="E62" s="15">
        <f>E63+E64</f>
        <v>0</v>
      </c>
      <c r="F62" s="16">
        <f>F63+F64</f>
        <v>0</v>
      </c>
    </row>
    <row r="63" spans="1:6" s="3" customFormat="1" ht="18" customHeight="1">
      <c r="A63" s="34" t="s">
        <v>23</v>
      </c>
      <c r="B63" s="32">
        <f t="shared" si="0"/>
        <v>0</v>
      </c>
      <c r="C63" s="8"/>
      <c r="D63" s="8"/>
      <c r="E63" s="8"/>
      <c r="F63" s="9"/>
    </row>
    <row r="64" spans="1:6" s="3" customFormat="1" ht="18" customHeight="1">
      <c r="A64" s="34" t="s">
        <v>24</v>
      </c>
      <c r="B64" s="32">
        <f t="shared" si="0"/>
        <v>0</v>
      </c>
      <c r="C64" s="8"/>
      <c r="D64" s="8"/>
      <c r="E64" s="8"/>
      <c r="F64" s="9"/>
    </row>
    <row r="65" spans="1:6" s="3" customFormat="1" ht="24.75" customHeight="1">
      <c r="A65" s="70" t="s">
        <v>4</v>
      </c>
      <c r="B65" s="32">
        <f t="shared" si="0"/>
        <v>729.877</v>
      </c>
      <c r="C65" s="8">
        <f>C66+C67</f>
        <v>729.877</v>
      </c>
      <c r="D65" s="8"/>
      <c r="E65" s="8"/>
      <c r="F65" s="9"/>
    </row>
    <row r="66" spans="1:6" s="3" customFormat="1" ht="21.75" customHeight="1">
      <c r="A66" s="34" t="s">
        <v>25</v>
      </c>
      <c r="B66" s="32">
        <f t="shared" si="0"/>
        <v>729.877</v>
      </c>
      <c r="C66" s="15">
        <v>729.877</v>
      </c>
      <c r="D66" s="8"/>
      <c r="E66" s="15"/>
      <c r="F66" s="16"/>
    </row>
    <row r="67" spans="1:6" s="3" customFormat="1" ht="18" customHeight="1">
      <c r="A67" s="34" t="s">
        <v>22</v>
      </c>
      <c r="B67" s="32">
        <f t="shared" si="0"/>
        <v>0</v>
      </c>
      <c r="C67" s="15">
        <f>C68+C69</f>
        <v>0</v>
      </c>
      <c r="D67" s="8"/>
      <c r="E67" s="15">
        <f>E68+E69</f>
        <v>0</v>
      </c>
      <c r="F67" s="16">
        <f>F68+F69</f>
        <v>0</v>
      </c>
    </row>
    <row r="68" spans="1:6" s="3" customFormat="1" ht="19.5" customHeight="1">
      <c r="A68" s="34" t="s">
        <v>23</v>
      </c>
      <c r="B68" s="32">
        <f t="shared" si="0"/>
        <v>0</v>
      </c>
      <c r="C68" s="21"/>
      <c r="D68" s="8"/>
      <c r="E68" s="8"/>
      <c r="F68" s="9"/>
    </row>
    <row r="69" spans="1:6" s="3" customFormat="1" ht="19.5" customHeight="1" thickBot="1">
      <c r="A69" s="35" t="s">
        <v>24</v>
      </c>
      <c r="B69" s="33">
        <f t="shared" si="0"/>
        <v>0</v>
      </c>
      <c r="C69" s="28"/>
      <c r="D69" s="27"/>
      <c r="E69" s="27"/>
      <c r="F69" s="29"/>
    </row>
    <row r="70" spans="1:6" s="4" customFormat="1" ht="26.25" customHeight="1">
      <c r="A70" s="71" t="s">
        <v>34</v>
      </c>
      <c r="B70" s="72">
        <f>C70+D70+E70+F70</f>
        <v>189.754</v>
      </c>
      <c r="C70" s="40"/>
      <c r="D70" s="40"/>
      <c r="E70" s="41">
        <v>189.754</v>
      </c>
      <c r="F70" s="42"/>
    </row>
    <row r="71" spans="1:6" s="4" customFormat="1" ht="26.25" customHeight="1">
      <c r="A71" s="39" t="s">
        <v>35</v>
      </c>
      <c r="B71" s="6">
        <f aca="true" t="shared" si="1" ref="B71:B79">C71+D71+E71+F71</f>
        <v>19.826</v>
      </c>
      <c r="C71" s="8"/>
      <c r="D71" s="8"/>
      <c r="E71" s="11">
        <v>19.826</v>
      </c>
      <c r="F71" s="9"/>
    </row>
    <row r="72" spans="1:6" s="4" customFormat="1" ht="26.25" customHeight="1">
      <c r="A72" s="39" t="s">
        <v>42</v>
      </c>
      <c r="B72" s="6">
        <f t="shared" si="1"/>
        <v>608.889</v>
      </c>
      <c r="C72" s="8"/>
      <c r="D72" s="8"/>
      <c r="E72" s="11">
        <v>555.74</v>
      </c>
      <c r="F72" s="12">
        <v>53.149</v>
      </c>
    </row>
    <row r="73" spans="1:6" s="4" customFormat="1" ht="42.75" customHeight="1">
      <c r="A73" s="48" t="s">
        <v>43</v>
      </c>
      <c r="B73" s="6">
        <f t="shared" si="1"/>
        <v>1406.75</v>
      </c>
      <c r="C73" s="75">
        <v>1396.8</v>
      </c>
      <c r="D73" s="75"/>
      <c r="E73" s="75"/>
      <c r="F73" s="76">
        <v>9.95</v>
      </c>
    </row>
    <row r="74" spans="1:6" s="4" customFormat="1" ht="26.25" customHeight="1">
      <c r="A74" s="39" t="s">
        <v>36</v>
      </c>
      <c r="B74" s="6">
        <f t="shared" si="1"/>
        <v>771.39</v>
      </c>
      <c r="C74" s="10">
        <v>561.317</v>
      </c>
      <c r="D74" s="10"/>
      <c r="E74" s="10">
        <v>160.136</v>
      </c>
      <c r="F74" s="17">
        <v>49.937</v>
      </c>
    </row>
    <row r="75" spans="1:6" s="4" customFormat="1" ht="26.25" customHeight="1">
      <c r="A75" s="39" t="s">
        <v>44</v>
      </c>
      <c r="B75" s="6">
        <f t="shared" si="1"/>
        <v>0</v>
      </c>
      <c r="C75" s="10"/>
      <c r="D75" s="10"/>
      <c r="E75" s="10"/>
      <c r="F75" s="17"/>
    </row>
    <row r="76" spans="1:6" s="4" customFormat="1" ht="26.25" customHeight="1">
      <c r="A76" s="48" t="s">
        <v>37</v>
      </c>
      <c r="B76" s="79">
        <f t="shared" si="1"/>
        <v>0</v>
      </c>
      <c r="C76" s="46"/>
      <c r="D76" s="46"/>
      <c r="E76" s="46"/>
      <c r="F76" s="47"/>
    </row>
    <row r="77" spans="1:6" s="4" customFormat="1" ht="36">
      <c r="A77" s="80" t="s">
        <v>38</v>
      </c>
      <c r="B77" s="79">
        <f t="shared" si="1"/>
        <v>0</v>
      </c>
      <c r="C77" s="46"/>
      <c r="D77" s="46"/>
      <c r="E77" s="46"/>
      <c r="F77" s="47"/>
    </row>
    <row r="78" spans="1:6" s="4" customFormat="1" ht="54.75" thickBot="1">
      <c r="A78" s="82" t="s">
        <v>39</v>
      </c>
      <c r="B78" s="83">
        <f t="shared" si="1"/>
        <v>0</v>
      </c>
      <c r="C78" s="84"/>
      <c r="D78" s="84"/>
      <c r="E78" s="84"/>
      <c r="F78" s="85"/>
    </row>
    <row r="79" spans="1:6" s="4" customFormat="1" ht="35.25" customHeight="1" thickBot="1">
      <c r="A79" s="38" t="s">
        <v>14</v>
      </c>
      <c r="B79" s="91">
        <f t="shared" si="1"/>
        <v>103546.278</v>
      </c>
      <c r="C79" s="92">
        <f>C5+C10+C15+C20+C25+C30+C35+C40+C45+C50+C55+C60+C65+C70+C70+C71+C72+C73+C74+C75+C76+C77+C78</f>
        <v>44451.24500000001</v>
      </c>
      <c r="D79" s="92">
        <f>D5+D10+D15+D20+D25+D30+D35+D40+D45+D50+D55+D60+D65+D70+D70+D71+D72+D73+D74+D75+D76+D77+D78</f>
        <v>1329.854</v>
      </c>
      <c r="E79" s="92">
        <f>E5+E10+E15+E20+E25+E30+E35+E40+E45+E50+E55+E60+E65+E70+E71+E72+E73+E74+E75+E76+E77+E78</f>
        <v>25413.619000000002</v>
      </c>
      <c r="F79" s="92">
        <f>F5+F10+F15+F20+F25+F30+F35+F40+F45+F50+F55+F60+F65+F70+F70+F71+F72+F73+F74+F75+F76+F77+F78</f>
        <v>32351.56</v>
      </c>
    </row>
    <row r="80" s="4" customFormat="1" ht="12.75"/>
    <row r="81" s="4" customFormat="1" ht="12.75"/>
    <row r="82" s="4" customFormat="1" ht="12.75"/>
    <row r="83" s="4" customFormat="1" ht="12.75"/>
    <row r="84" s="4" customFormat="1" ht="12.75"/>
    <row r="85" s="4" customFormat="1" ht="12.75"/>
    <row r="86" s="4" customFormat="1" ht="12.75"/>
    <row r="87" s="4" customFormat="1" ht="12.75"/>
    <row r="88" s="4" customFormat="1" ht="12.75"/>
    <row r="89" s="4" customFormat="1" ht="12.75"/>
    <row r="90" s="4" customFormat="1" ht="12.75"/>
    <row r="91" s="4" customFormat="1" ht="12.75"/>
    <row r="92" s="4" customFormat="1" ht="12.75"/>
    <row r="93" s="4" customFormat="1" ht="12.75"/>
    <row r="94" s="4" customFormat="1" ht="12.75"/>
    <row r="95" s="4" customFormat="1" ht="12.75"/>
    <row r="96" s="4" customFormat="1" ht="12.75"/>
    <row r="97" s="4" customFormat="1" ht="12.75"/>
    <row r="98" s="4" customFormat="1" ht="12.75"/>
  </sheetData>
  <mergeCells count="2">
    <mergeCell ref="A1:F1"/>
    <mergeCell ref="A2:F2"/>
  </mergeCells>
  <printOptions horizontalCentered="1"/>
  <pageMargins left="0.3937007874015748" right="0.3937007874015748" top="0.7874015748031497" bottom="0.3937007874015748" header="0.5118110236220472" footer="0.5118110236220472"/>
  <pageSetup fitToHeight="1" fitToWidth="1"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esorrfni</dc:creator>
  <cp:keywords/>
  <dc:description/>
  <cp:lastModifiedBy>esorrtna</cp:lastModifiedBy>
  <cp:lastPrinted>2011-02-03T12:17:12Z</cp:lastPrinted>
  <dcterms:created xsi:type="dcterms:W3CDTF">2007-02-15T08:39:45Z</dcterms:created>
  <dcterms:modified xsi:type="dcterms:W3CDTF">2011-05-24T05:37:19Z</dcterms:modified>
  <cp:category/>
  <cp:version/>
  <cp:contentType/>
  <cp:contentStatus/>
</cp:coreProperties>
</file>