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25" windowWidth="20730" windowHeight="511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comments7.xml><?xml version="1.0" encoding="utf-8"?>
<comments xmlns="http://schemas.openxmlformats.org/spreadsheetml/2006/main">
  <authors>
    <author>Карташова Марина Юрьевна</author>
  </authors>
  <commentList>
    <comment ref="I24" authorId="0">
      <text>
        <r>
          <rPr>
            <b/>
            <sz val="9"/>
            <rFont val="Tahoma"/>
            <family val="2"/>
          </rPr>
          <t>Карташова Марина Юрьевна:</t>
        </r>
        <r>
          <rPr>
            <sz val="9"/>
            <rFont val="Tahoma"/>
            <family val="2"/>
          </rPr>
          <t xml:space="preserve">
Урегулирование разногласий КДЦ на 11,905 кВт*ч за июнь от 05.07.2021</t>
        </r>
      </text>
    </comment>
    <comment ref="I61" authorId="0">
      <text>
        <r>
          <rPr>
            <b/>
            <sz val="9"/>
            <rFont val="Tahoma"/>
            <family val="2"/>
          </rPr>
          <t>Карташова Марина Юрьевна:</t>
        </r>
        <r>
          <rPr>
            <sz val="9"/>
            <rFont val="Tahoma"/>
            <family val="2"/>
          </rPr>
          <t xml:space="preserve">
Урегулирование разногласий КДЦ на 11,905 кВт*ч за июнь от 05.07.2021</t>
        </r>
      </text>
    </comment>
  </commentList>
</comments>
</file>

<file path=xl/comments8.xml><?xml version="1.0" encoding="utf-8"?>
<comments xmlns="http://schemas.openxmlformats.org/spreadsheetml/2006/main">
  <authors>
    <author>Крылова Н.В.</author>
  </authors>
  <commentList>
    <comment ref="K166" authorId="0">
      <text>
        <r>
          <rPr>
            <b/>
            <sz val="9"/>
            <rFont val="Tahoma"/>
            <family val="2"/>
          </rPr>
          <t>Крылова Н.В.:</t>
        </r>
        <r>
          <rPr>
            <sz val="9"/>
            <rFont val="Tahoma"/>
            <family val="2"/>
          </rPr>
          <t xml:space="preserve">
расногласия ЦЖКУ, МЭСК не принимает 18 890 кВт.ч.
</t>
        </r>
      </text>
    </comment>
  </commentList>
</comments>
</file>

<file path=xl/sharedStrings.xml><?xml version="1.0" encoding="utf-8"?>
<sst xmlns="http://schemas.openxmlformats.org/spreadsheetml/2006/main" count="2412" uniqueCount="63">
  <si>
    <t>Прочие</t>
  </si>
  <si>
    <t>Всего</t>
  </si>
  <si>
    <t>ВН</t>
  </si>
  <si>
    <t>НН</t>
  </si>
  <si>
    <t>город</t>
  </si>
  <si>
    <t>село</t>
  </si>
  <si>
    <t>СН I</t>
  </si>
  <si>
    <t>СН II</t>
  </si>
  <si>
    <t>Группа потребителей</t>
  </si>
  <si>
    <t>Объем полезного отпуска энергии, млн.кВтч</t>
  </si>
  <si>
    <t>Население, в т.ч.</t>
  </si>
  <si>
    <t>город c э/п</t>
  </si>
  <si>
    <t>Услуга по 2-став.тарифу</t>
  </si>
  <si>
    <t xml:space="preserve"> - электроэнергия</t>
  </si>
  <si>
    <t xml:space="preserve"> - фактическая мощность</t>
  </si>
  <si>
    <t>Генерация</t>
  </si>
  <si>
    <t xml:space="preserve"> - заявленная мощность</t>
  </si>
  <si>
    <t>город с э/п</t>
  </si>
  <si>
    <t>6. ООО "Электротеплосеть"</t>
  </si>
  <si>
    <t xml:space="preserve">11. ООО "Мордовская сетевая компания" </t>
  </si>
  <si>
    <t>13. Куйбыш.дирекция ОАО "РЖД"</t>
  </si>
  <si>
    <t>20. МП г.о.Саранск "Горсвет"</t>
  </si>
  <si>
    <t>21. ООО "Энерголин"</t>
  </si>
  <si>
    <t>садоводческие</t>
  </si>
  <si>
    <t>религиозные организации</t>
  </si>
  <si>
    <t>колонии</t>
  </si>
  <si>
    <t>гаражи, кооперативы, погреба, сараи</t>
  </si>
  <si>
    <t>3. Мордовская электросетевая компания"</t>
  </si>
  <si>
    <t>7. АО ТФ Ватт</t>
  </si>
  <si>
    <t>ЯНВАРЬ</t>
  </si>
  <si>
    <t>23. ООО "Рузаевские электрические сети" ( РЭС )</t>
  </si>
  <si>
    <t>Услуга ВСЕГО</t>
  </si>
  <si>
    <t xml:space="preserve"> ОАО "ФСК ЕЭС" </t>
  </si>
  <si>
    <t xml:space="preserve">4. </t>
  </si>
  <si>
    <t xml:space="preserve">Услуга по 2-став.тарифу  </t>
  </si>
  <si>
    <t>5. ФКЗ "Саранский Механический завод"</t>
  </si>
  <si>
    <t>22. ООО "Системы  жизнеобеспечения РМ"</t>
  </si>
  <si>
    <t>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</t>
  </si>
  <si>
    <t>ЯНВАРЬ 2021 г.</t>
  </si>
  <si>
    <t>1. Филиал ПАО "Россети Волга" - "Мордовэнерго"</t>
  </si>
  <si>
    <t>ФЕВРАЛЬ</t>
  </si>
  <si>
    <t>ФЕВРАЛЬ 2021 г.</t>
  </si>
  <si>
    <t>2. «Россети ФСК ЕЭС»</t>
  </si>
  <si>
    <t>МАРТ</t>
  </si>
  <si>
    <t>МАРТ 2021 г.</t>
  </si>
  <si>
    <t>АПРЕЛЬ</t>
  </si>
  <si>
    <t>АПРЕЛЬ 2021 г.</t>
  </si>
  <si>
    <t>МАЙ 2021 г.</t>
  </si>
  <si>
    <t>МАЙ</t>
  </si>
  <si>
    <t>ИЮНЬ 2021 г.</t>
  </si>
  <si>
    <t>ИЮНЬ</t>
  </si>
  <si>
    <t>ИЮЛЬ</t>
  </si>
  <si>
    <t>ИЮЛЬ 2021 г.</t>
  </si>
  <si>
    <t>АВГУСТ</t>
  </si>
  <si>
    <t>АВГУСТ 2021 г.</t>
  </si>
  <si>
    <t>СЕНТЯБРЬ</t>
  </si>
  <si>
    <t>СЕНТЯБРЬ 2021 г.</t>
  </si>
  <si>
    <t>ОКТЯБРЬ</t>
  </si>
  <si>
    <t>ОКТЯБРЬ 2021 г.</t>
  </si>
  <si>
    <t>НОЯБРЬ</t>
  </si>
  <si>
    <t>НОЯБРЬ 2021 г.</t>
  </si>
  <si>
    <t>ДЕКАБРЬ</t>
  </si>
  <si>
    <t>ДЕКАБРЬ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</si>
</sst>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0"/>
    <numFmt numFmtId="165" formatCode="#,##0.000"/>
    <numFmt numFmtId="166" formatCode="#,##0.0000"/>
    <numFmt numFmtId="167" formatCode="#,##0.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Helv"/>
      <family val="0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3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0070C0"/>
      <name val="Calibri"/>
      <family val="2"/>
    </font>
    <font>
      <sz val="10"/>
      <color rgb="FF0070C0"/>
      <name val="Times New Roman"/>
      <family val="1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3" fillId="25" borderId="0" applyNumberFormat="0" applyBorder="0" applyAlignment="0" applyProtection="0"/>
    <xf numFmtId="0" fontId="49" fillId="26" borderId="0" applyNumberFormat="0" applyBorder="0" applyAlignment="0" applyProtection="0"/>
    <xf numFmtId="0" fontId="3" fillId="17" borderId="0" applyNumberFormat="0" applyBorder="0" applyAlignment="0" applyProtection="0"/>
    <xf numFmtId="0" fontId="49" fillId="27" borderId="0" applyNumberFormat="0" applyBorder="0" applyAlignment="0" applyProtection="0"/>
    <xf numFmtId="0" fontId="3" fillId="19" borderId="0" applyNumberFormat="0" applyBorder="0" applyAlignment="0" applyProtection="0"/>
    <xf numFmtId="0" fontId="49" fillId="28" borderId="0" applyNumberFormat="0" applyBorder="0" applyAlignment="0" applyProtection="0"/>
    <xf numFmtId="0" fontId="3" fillId="29" borderId="0" applyNumberFormat="0" applyBorder="0" applyAlignment="0" applyProtection="0"/>
    <xf numFmtId="0" fontId="49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3" fillId="33" borderId="0" applyNumberFormat="0" applyBorder="0" applyAlignment="0" applyProtection="0"/>
    <xf numFmtId="0" fontId="49" fillId="34" borderId="0" applyNumberFormat="0" applyBorder="0" applyAlignment="0" applyProtection="0"/>
    <xf numFmtId="0" fontId="3" fillId="35" borderId="0" applyNumberFormat="0" applyBorder="0" applyAlignment="0" applyProtection="0"/>
    <xf numFmtId="0" fontId="49" fillId="36" borderId="0" applyNumberFormat="0" applyBorder="0" applyAlignment="0" applyProtection="0"/>
    <xf numFmtId="0" fontId="3" fillId="37" borderId="0" applyNumberFormat="0" applyBorder="0" applyAlignment="0" applyProtection="0"/>
    <xf numFmtId="0" fontId="49" fillId="38" borderId="0" applyNumberFormat="0" applyBorder="0" applyAlignment="0" applyProtection="0"/>
    <xf numFmtId="0" fontId="3" fillId="39" borderId="0" applyNumberFormat="0" applyBorder="0" applyAlignment="0" applyProtection="0"/>
    <xf numFmtId="0" fontId="49" fillId="40" borderId="0" applyNumberFormat="0" applyBorder="0" applyAlignment="0" applyProtection="0"/>
    <xf numFmtId="0" fontId="3" fillId="29" borderId="0" applyNumberFormat="0" applyBorder="0" applyAlignment="0" applyProtection="0"/>
    <xf numFmtId="0" fontId="49" fillId="41" borderId="0" applyNumberFormat="0" applyBorder="0" applyAlignment="0" applyProtection="0"/>
    <xf numFmtId="0" fontId="3" fillId="31" borderId="0" applyNumberFormat="0" applyBorder="0" applyAlignment="0" applyProtection="0"/>
    <xf numFmtId="0" fontId="49" fillId="42" borderId="0" applyNumberFormat="0" applyBorder="0" applyAlignment="0" applyProtection="0"/>
    <xf numFmtId="0" fontId="3" fillId="43" borderId="0" applyNumberFormat="0" applyBorder="0" applyAlignment="0" applyProtection="0"/>
    <xf numFmtId="0" fontId="50" fillId="44" borderId="1" applyNumberFormat="0" applyAlignment="0" applyProtection="0"/>
    <xf numFmtId="0" fontId="4" fillId="13" borderId="2" applyNumberFormat="0" applyAlignment="0" applyProtection="0"/>
    <xf numFmtId="0" fontId="51" fillId="45" borderId="3" applyNumberFormat="0" applyAlignment="0" applyProtection="0"/>
    <xf numFmtId="0" fontId="5" fillId="46" borderId="4" applyNumberFormat="0" applyAlignment="0" applyProtection="0"/>
    <xf numFmtId="0" fontId="52" fillId="45" borderId="1" applyNumberFormat="0" applyAlignment="0" applyProtection="0"/>
    <xf numFmtId="0" fontId="6" fillId="46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7" fillId="0" borderId="6" applyNumberFormat="0" applyFill="0" applyAlignment="0" applyProtection="0"/>
    <xf numFmtId="0" fontId="54" fillId="0" borderId="7" applyNumberFormat="0" applyFill="0" applyAlignment="0" applyProtection="0"/>
    <xf numFmtId="0" fontId="8" fillId="0" borderId="8" applyNumberFormat="0" applyFill="0" applyAlignment="0" applyProtection="0"/>
    <xf numFmtId="0" fontId="55" fillId="0" borderId="9" applyNumberFormat="0" applyFill="0" applyAlignment="0" applyProtection="0"/>
    <xf numFmtId="0" fontId="9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0" fillId="0" borderId="12" applyNumberFormat="0" applyFill="0" applyAlignment="0" applyProtection="0"/>
    <xf numFmtId="0" fontId="57" fillId="47" borderId="13" applyNumberFormat="0" applyAlignment="0" applyProtection="0"/>
    <xf numFmtId="0" fontId="11" fillId="48" borderId="14" applyNumberFormat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15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7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17" applyNumberFormat="0" applyFill="0" applyAlignment="0" applyProtection="0"/>
    <xf numFmtId="0" fontId="18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54" borderId="0" applyNumberFormat="0" applyBorder="0" applyAlignment="0" applyProtection="0"/>
    <xf numFmtId="0" fontId="20" fillId="7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4" fontId="21" fillId="0" borderId="0" xfId="93" applyFont="1">
      <alignment vertical="center"/>
      <protection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28" fillId="0" borderId="0" xfId="0" applyNumberFormat="1" applyFont="1" applyAlignment="1">
      <alignment vertical="center"/>
    </xf>
    <xf numFmtId="164" fontId="28" fillId="0" borderId="0" xfId="93" applyNumberFormat="1" applyFont="1">
      <alignment vertic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64" fontId="24" fillId="0" borderId="19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164" fontId="66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 vertical="center"/>
    </xf>
    <xf numFmtId="4" fontId="28" fillId="0" borderId="0" xfId="93" applyFont="1">
      <alignment vertical="center"/>
      <protection/>
    </xf>
    <xf numFmtId="164" fontId="36" fillId="0" borderId="0" xfId="0" applyNumberFormat="1" applyFont="1" applyBorder="1" applyAlignment="1">
      <alignment vertical="center"/>
    </xf>
    <xf numFmtId="164" fontId="35" fillId="0" borderId="0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0" fontId="38" fillId="0" borderId="0" xfId="69" applyNumberFormat="1" applyFont="1" applyFill="1" applyAlignment="1" applyProtection="1">
      <alignment/>
      <protection/>
    </xf>
    <xf numFmtId="164" fontId="31" fillId="0" borderId="20" xfId="0" applyNumberFormat="1" applyFont="1" applyFill="1" applyBorder="1" applyAlignment="1">
      <alignment vertical="center"/>
    </xf>
    <xf numFmtId="164" fontId="31" fillId="0" borderId="21" xfId="0" applyNumberFormat="1" applyFont="1" applyFill="1" applyBorder="1" applyAlignment="1">
      <alignment vertical="center"/>
    </xf>
    <xf numFmtId="164" fontId="31" fillId="0" borderId="22" xfId="0" applyNumberFormat="1" applyFont="1" applyFill="1" applyBorder="1" applyAlignment="1">
      <alignment vertical="center"/>
    </xf>
    <xf numFmtId="164" fontId="28" fillId="0" borderId="23" xfId="0" applyNumberFormat="1" applyFont="1" applyFill="1" applyBorder="1" applyAlignment="1">
      <alignment vertical="center"/>
    </xf>
    <xf numFmtId="164" fontId="28" fillId="0" borderId="24" xfId="0" applyNumberFormat="1" applyFont="1" applyFill="1" applyBorder="1" applyAlignment="1">
      <alignment vertical="center"/>
    </xf>
    <xf numFmtId="164" fontId="28" fillId="0" borderId="25" xfId="0" applyNumberFormat="1" applyFont="1" applyFill="1" applyBorder="1" applyAlignment="1">
      <alignment vertical="center"/>
    </xf>
    <xf numFmtId="164" fontId="31" fillId="0" borderId="23" xfId="0" applyNumberFormat="1" applyFont="1" applyFill="1" applyBorder="1" applyAlignment="1">
      <alignment vertical="center"/>
    </xf>
    <xf numFmtId="164" fontId="31" fillId="0" borderId="24" xfId="0" applyNumberFormat="1" applyFont="1" applyFill="1" applyBorder="1" applyAlignment="1">
      <alignment vertical="center"/>
    </xf>
    <xf numFmtId="164" fontId="31" fillId="0" borderId="25" xfId="0" applyNumberFormat="1" applyFont="1" applyFill="1" applyBorder="1" applyAlignment="1">
      <alignment vertical="center"/>
    </xf>
    <xf numFmtId="164" fontId="31" fillId="0" borderId="24" xfId="0" applyNumberFormat="1" applyFont="1" applyFill="1" applyBorder="1" applyAlignment="1">
      <alignment horizontal="right" vertical="center"/>
    </xf>
    <xf numFmtId="164" fontId="31" fillId="0" borderId="25" xfId="0" applyNumberFormat="1" applyFont="1" applyFill="1" applyBorder="1" applyAlignment="1">
      <alignment horizontal="right" vertical="center"/>
    </xf>
    <xf numFmtId="164" fontId="28" fillId="0" borderId="24" xfId="0" applyNumberFormat="1" applyFont="1" applyFill="1" applyBorder="1" applyAlignment="1">
      <alignment horizontal="right" vertical="center"/>
    </xf>
    <xf numFmtId="164" fontId="28" fillId="0" borderId="25" xfId="0" applyNumberFormat="1" applyFont="1" applyFill="1" applyBorder="1" applyAlignment="1">
      <alignment horizontal="right" vertical="center"/>
    </xf>
    <xf numFmtId="164" fontId="68" fillId="0" borderId="24" xfId="0" applyNumberFormat="1" applyFont="1" applyFill="1" applyBorder="1" applyAlignment="1">
      <alignment horizontal="right" vertical="center"/>
    </xf>
    <xf numFmtId="164" fontId="68" fillId="0" borderId="25" xfId="0" applyNumberFormat="1" applyFont="1" applyFill="1" applyBorder="1" applyAlignment="1">
      <alignment horizontal="right" vertical="center"/>
    </xf>
    <xf numFmtId="164" fontId="68" fillId="0" borderId="26" xfId="0" applyNumberFormat="1" applyFont="1" applyFill="1" applyBorder="1" applyAlignment="1">
      <alignment vertical="center"/>
    </xf>
    <xf numFmtId="164" fontId="68" fillId="0" borderId="27" xfId="0" applyNumberFormat="1" applyFont="1" applyFill="1" applyBorder="1" applyAlignment="1">
      <alignment horizontal="right" vertical="center"/>
    </xf>
    <xf numFmtId="164" fontId="68" fillId="0" borderId="28" xfId="0" applyNumberFormat="1" applyFont="1" applyFill="1" applyBorder="1" applyAlignment="1">
      <alignment horizontal="right" vertical="center"/>
    </xf>
    <xf numFmtId="164" fontId="28" fillId="0" borderId="29" xfId="0" applyNumberFormat="1" applyFont="1" applyFill="1" applyBorder="1" applyAlignment="1">
      <alignment vertical="center"/>
    </xf>
    <xf numFmtId="164" fontId="28" fillId="0" borderId="30" xfId="0" applyNumberFormat="1" applyFont="1" applyFill="1" applyBorder="1" applyAlignment="1">
      <alignment vertical="center"/>
    </xf>
    <xf numFmtId="164" fontId="31" fillId="0" borderId="29" xfId="0" applyNumberFormat="1" applyFont="1" applyFill="1" applyBorder="1" applyAlignment="1">
      <alignment vertical="center"/>
    </xf>
    <xf numFmtId="164" fontId="31" fillId="0" borderId="30" xfId="0" applyNumberFormat="1" applyFont="1" applyFill="1" applyBorder="1" applyAlignment="1">
      <alignment vertical="center"/>
    </xf>
    <xf numFmtId="164" fontId="31" fillId="0" borderId="30" xfId="0" applyNumberFormat="1" applyFont="1" applyFill="1" applyBorder="1" applyAlignment="1">
      <alignment horizontal="right" vertical="center"/>
    </xf>
    <xf numFmtId="164" fontId="28" fillId="0" borderId="30" xfId="0" applyNumberFormat="1" applyFont="1" applyFill="1" applyBorder="1" applyAlignment="1">
      <alignment horizontal="right" vertical="center"/>
    </xf>
    <xf numFmtId="164" fontId="68" fillId="0" borderId="31" xfId="0" applyNumberFormat="1" applyFont="1" applyFill="1" applyBorder="1" applyAlignment="1">
      <alignment vertical="center"/>
    </xf>
    <xf numFmtId="164" fontId="68" fillId="0" borderId="32" xfId="0" applyNumberFormat="1" applyFont="1" applyFill="1" applyBorder="1" applyAlignment="1">
      <alignment vertical="center"/>
    </xf>
    <xf numFmtId="164" fontId="68" fillId="0" borderId="32" xfId="0" applyNumberFormat="1" applyFont="1" applyFill="1" applyBorder="1" applyAlignment="1">
      <alignment horizontal="right" vertical="center"/>
    </xf>
    <xf numFmtId="164" fontId="24" fillId="55" borderId="33" xfId="0" applyNumberFormat="1" applyFont="1" applyFill="1" applyBorder="1" applyAlignment="1">
      <alignment vertical="center"/>
    </xf>
    <xf numFmtId="164" fontId="24" fillId="55" borderId="34" xfId="0" applyNumberFormat="1" applyFont="1" applyFill="1" applyBorder="1" applyAlignment="1">
      <alignment vertical="center"/>
    </xf>
    <xf numFmtId="164" fontId="24" fillId="55" borderId="35" xfId="0" applyNumberFormat="1" applyFont="1" applyFill="1" applyBorder="1" applyAlignment="1">
      <alignment vertical="center"/>
    </xf>
    <xf numFmtId="164" fontId="28" fillId="0" borderId="36" xfId="0" applyNumberFormat="1" applyFont="1" applyFill="1" applyBorder="1" applyAlignment="1">
      <alignment horizontal="right" vertical="center"/>
    </xf>
    <xf numFmtId="164" fontId="28" fillId="0" borderId="36" xfId="0" applyNumberFormat="1" applyFont="1" applyFill="1" applyBorder="1" applyAlignment="1">
      <alignment vertical="center"/>
    </xf>
    <xf numFmtId="164" fontId="31" fillId="0" borderId="36" xfId="0" applyNumberFormat="1" applyFont="1" applyFill="1" applyBorder="1" applyAlignment="1">
      <alignment horizontal="right" vertical="center"/>
    </xf>
    <xf numFmtId="164" fontId="68" fillId="0" borderId="37" xfId="0" applyNumberFormat="1" applyFont="1" applyFill="1" applyBorder="1" applyAlignment="1">
      <alignment horizontal="right" vertical="center"/>
    </xf>
    <xf numFmtId="164" fontId="31" fillId="0" borderId="38" xfId="0" applyNumberFormat="1" applyFont="1" applyFill="1" applyBorder="1" applyAlignment="1">
      <alignment vertical="center"/>
    </xf>
    <xf numFmtId="164" fontId="68" fillId="0" borderId="30" xfId="0" applyNumberFormat="1" applyFont="1" applyFill="1" applyBorder="1" applyAlignment="1">
      <alignment vertical="center"/>
    </xf>
    <xf numFmtId="164" fontId="31" fillId="0" borderId="36" xfId="0" applyNumberFormat="1" applyFont="1" applyFill="1" applyBorder="1" applyAlignment="1">
      <alignment vertical="center"/>
    </xf>
    <xf numFmtId="0" fontId="24" fillId="55" borderId="39" xfId="0" applyFont="1" applyFill="1" applyBorder="1" applyAlignment="1">
      <alignment vertical="center" wrapText="1"/>
    </xf>
    <xf numFmtId="0" fontId="31" fillId="0" borderId="40" xfId="0" applyFont="1" applyFill="1" applyBorder="1" applyAlignment="1">
      <alignment vertical="center" wrapText="1"/>
    </xf>
    <xf numFmtId="0" fontId="32" fillId="0" borderId="40" xfId="0" applyFont="1" applyFill="1" applyBorder="1" applyAlignment="1">
      <alignment vertical="center" wrapText="1"/>
    </xf>
    <xf numFmtId="0" fontId="69" fillId="0" borderId="41" xfId="0" applyFont="1" applyFill="1" applyBorder="1" applyAlignment="1">
      <alignment vertical="center" wrapText="1"/>
    </xf>
    <xf numFmtId="164" fontId="68" fillId="0" borderId="23" xfId="0" applyNumberFormat="1" applyFont="1" applyFill="1" applyBorder="1" applyAlignment="1">
      <alignment vertical="center"/>
    </xf>
    <xf numFmtId="164" fontId="68" fillId="0" borderId="24" xfId="0" applyNumberFormat="1" applyFont="1" applyFill="1" applyBorder="1" applyAlignment="1">
      <alignment vertical="center"/>
    </xf>
    <xf numFmtId="0" fontId="69" fillId="0" borderId="40" xfId="0" applyFont="1" applyFill="1" applyBorder="1" applyAlignment="1">
      <alignment vertical="center" wrapText="1"/>
    </xf>
    <xf numFmtId="0" fontId="69" fillId="0" borderId="42" xfId="0" applyFont="1" applyFill="1" applyBorder="1" applyAlignment="1">
      <alignment vertical="center" wrapText="1"/>
    </xf>
    <xf numFmtId="164" fontId="68" fillId="0" borderId="27" xfId="0" applyNumberFormat="1" applyFont="1" applyFill="1" applyBorder="1" applyAlignment="1">
      <alignment vertical="center"/>
    </xf>
    <xf numFmtId="0" fontId="24" fillId="22" borderId="39" xfId="0" applyFont="1" applyFill="1" applyBorder="1" applyAlignment="1">
      <alignment vertical="center" wrapText="1"/>
    </xf>
    <xf numFmtId="164" fontId="24" fillId="22" borderId="31" xfId="0" applyNumberFormat="1" applyFont="1" applyFill="1" applyBorder="1" applyAlignment="1">
      <alignment vertical="center"/>
    </xf>
    <xf numFmtId="164" fontId="24" fillId="22" borderId="32" xfId="0" applyNumberFormat="1" applyFont="1" applyFill="1" applyBorder="1" applyAlignment="1">
      <alignment vertical="center"/>
    </xf>
    <xf numFmtId="164" fontId="24" fillId="22" borderId="37" xfId="0" applyNumberFormat="1" applyFont="1" applyFill="1" applyBorder="1" applyAlignment="1">
      <alignment vertical="center"/>
    </xf>
    <xf numFmtId="164" fontId="28" fillId="56" borderId="30" xfId="0" applyNumberFormat="1" applyFont="1" applyFill="1" applyBorder="1" applyAlignment="1">
      <alignment vertical="center"/>
    </xf>
    <xf numFmtId="164" fontId="28" fillId="56" borderId="36" xfId="0" applyNumberFormat="1" applyFont="1" applyFill="1" applyBorder="1" applyAlignment="1">
      <alignment vertical="center"/>
    </xf>
    <xf numFmtId="164" fontId="31" fillId="56" borderId="30" xfId="0" applyNumberFormat="1" applyFont="1" applyFill="1" applyBorder="1" applyAlignment="1">
      <alignment vertical="center"/>
    </xf>
    <xf numFmtId="164" fontId="31" fillId="56" borderId="30" xfId="0" applyNumberFormat="1" applyFont="1" applyFill="1" applyBorder="1" applyAlignment="1">
      <alignment horizontal="right" vertical="center"/>
    </xf>
    <xf numFmtId="164" fontId="31" fillId="56" borderId="24" xfId="0" applyNumberFormat="1" applyFont="1" applyFill="1" applyBorder="1" applyAlignment="1">
      <alignment horizontal="right" vertical="center"/>
    </xf>
    <xf numFmtId="0" fontId="24" fillId="55" borderId="19" xfId="0" applyFont="1" applyFill="1" applyBorder="1" applyAlignment="1">
      <alignment vertical="center" wrapText="1"/>
    </xf>
    <xf numFmtId="0" fontId="69" fillId="0" borderId="43" xfId="0" applyFont="1" applyFill="1" applyBorder="1" applyAlignment="1">
      <alignment vertical="center" wrapText="1"/>
    </xf>
    <xf numFmtId="164" fontId="68" fillId="0" borderId="38" xfId="0" applyNumberFormat="1" applyFont="1" applyFill="1" applyBorder="1" applyAlignment="1">
      <alignment vertical="center"/>
    </xf>
    <xf numFmtId="164" fontId="68" fillId="0" borderId="44" xfId="0" applyNumberFormat="1" applyFont="1" applyFill="1" applyBorder="1" applyAlignment="1">
      <alignment vertical="center"/>
    </xf>
    <xf numFmtId="164" fontId="68" fillId="0" borderId="44" xfId="0" applyNumberFormat="1" applyFont="1" applyFill="1" applyBorder="1" applyAlignment="1">
      <alignment horizontal="right" vertical="center"/>
    </xf>
    <xf numFmtId="164" fontId="68" fillId="0" borderId="45" xfId="0" applyNumberFormat="1" applyFont="1" applyFill="1" applyBorder="1" applyAlignment="1">
      <alignment horizontal="right" vertical="center"/>
    </xf>
    <xf numFmtId="0" fontId="31" fillId="0" borderId="46" xfId="0" applyFont="1" applyFill="1" applyBorder="1" applyAlignment="1">
      <alignment vertical="center" wrapText="1"/>
    </xf>
    <xf numFmtId="0" fontId="32" fillId="0" borderId="46" xfId="0" applyFont="1" applyFill="1" applyBorder="1" applyAlignment="1">
      <alignment vertical="center" wrapText="1"/>
    </xf>
    <xf numFmtId="0" fontId="69" fillId="0" borderId="47" xfId="0" applyFont="1" applyFill="1" applyBorder="1" applyAlignment="1">
      <alignment vertical="center" wrapText="1"/>
    </xf>
    <xf numFmtId="164" fontId="28" fillId="56" borderId="30" xfId="0" applyNumberFormat="1" applyFont="1" applyFill="1" applyBorder="1" applyAlignment="1">
      <alignment horizontal="right" vertical="center"/>
    </xf>
    <xf numFmtId="0" fontId="31" fillId="0" borderId="48" xfId="0" applyFont="1" applyFill="1" applyBorder="1" applyAlignment="1">
      <alignment vertical="center" wrapText="1"/>
    </xf>
    <xf numFmtId="0" fontId="31" fillId="0" borderId="49" xfId="0" applyFont="1" applyFill="1" applyBorder="1" applyAlignment="1">
      <alignment vertical="center" wrapText="1"/>
    </xf>
    <xf numFmtId="164" fontId="31" fillId="56" borderId="25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 wrapText="1"/>
    </xf>
    <xf numFmtId="164" fontId="31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horizontal="right" vertical="center"/>
    </xf>
    <xf numFmtId="0" fontId="24" fillId="57" borderId="39" xfId="0" applyFont="1" applyFill="1" applyBorder="1" applyAlignment="1">
      <alignment vertical="center" wrapText="1"/>
    </xf>
    <xf numFmtId="164" fontId="24" fillId="57" borderId="33" xfId="0" applyNumberFormat="1" applyFont="1" applyFill="1" applyBorder="1" applyAlignment="1">
      <alignment vertical="center"/>
    </xf>
    <xf numFmtId="164" fontId="24" fillId="57" borderId="34" xfId="0" applyNumberFormat="1" applyFont="1" applyFill="1" applyBorder="1" applyAlignment="1">
      <alignment vertical="center"/>
    </xf>
    <xf numFmtId="164" fontId="24" fillId="57" borderId="34" xfId="0" applyNumberFormat="1" applyFont="1" applyFill="1" applyBorder="1" applyAlignment="1">
      <alignment horizontal="right" vertical="center"/>
    </xf>
    <xf numFmtId="164" fontId="24" fillId="57" borderId="35" xfId="0" applyNumberFormat="1" applyFont="1" applyFill="1" applyBorder="1" applyAlignment="1">
      <alignment horizontal="right" vertical="center"/>
    </xf>
    <xf numFmtId="0" fontId="28" fillId="57" borderId="40" xfId="0" applyFont="1" applyFill="1" applyBorder="1" applyAlignment="1">
      <alignment vertical="center" wrapText="1"/>
    </xf>
    <xf numFmtId="164" fontId="28" fillId="57" borderId="29" xfId="0" applyNumberFormat="1" applyFont="1" applyFill="1" applyBorder="1" applyAlignment="1">
      <alignment vertical="center"/>
    </xf>
    <xf numFmtId="164" fontId="28" fillId="57" borderId="30" xfId="0" applyNumberFormat="1" applyFont="1" applyFill="1" applyBorder="1" applyAlignment="1">
      <alignment vertical="center"/>
    </xf>
    <xf numFmtId="164" fontId="28" fillId="57" borderId="30" xfId="0" applyNumberFormat="1" applyFont="1" applyFill="1" applyBorder="1" applyAlignment="1">
      <alignment horizontal="right" vertical="center"/>
    </xf>
    <xf numFmtId="164" fontId="28" fillId="57" borderId="36" xfId="0" applyNumberFormat="1" applyFont="1" applyFill="1" applyBorder="1" applyAlignment="1">
      <alignment horizontal="right" vertical="center"/>
    </xf>
    <xf numFmtId="0" fontId="31" fillId="57" borderId="41" xfId="0" applyFont="1" applyFill="1" applyBorder="1" applyAlignment="1">
      <alignment vertical="center" wrapText="1"/>
    </xf>
    <xf numFmtId="164" fontId="24" fillId="57" borderId="23" xfId="0" applyNumberFormat="1" applyFont="1" applyFill="1" applyBorder="1" applyAlignment="1">
      <alignment vertical="center"/>
    </xf>
    <xf numFmtId="164" fontId="24" fillId="57" borderId="24" xfId="0" applyNumberFormat="1" applyFont="1" applyFill="1" applyBorder="1" applyAlignment="1">
      <alignment vertical="center"/>
    </xf>
    <xf numFmtId="164" fontId="24" fillId="57" borderId="24" xfId="0" applyNumberFormat="1" applyFont="1" applyFill="1" applyBorder="1" applyAlignment="1">
      <alignment horizontal="right" vertical="center"/>
    </xf>
    <xf numFmtId="164" fontId="24" fillId="57" borderId="25" xfId="0" applyNumberFormat="1" applyFont="1" applyFill="1" applyBorder="1" applyAlignment="1">
      <alignment horizontal="right" vertical="center"/>
    </xf>
    <xf numFmtId="0" fontId="32" fillId="57" borderId="41" xfId="0" applyFont="1" applyFill="1" applyBorder="1" applyAlignment="1">
      <alignment vertical="center" wrapText="1"/>
    </xf>
    <xf numFmtId="164" fontId="28" fillId="57" borderId="23" xfId="0" applyNumberFormat="1" applyFont="1" applyFill="1" applyBorder="1" applyAlignment="1">
      <alignment vertical="center"/>
    </xf>
    <xf numFmtId="164" fontId="28" fillId="57" borderId="24" xfId="0" applyNumberFormat="1" applyFont="1" applyFill="1" applyBorder="1" applyAlignment="1">
      <alignment vertical="center"/>
    </xf>
    <xf numFmtId="164" fontId="28" fillId="57" borderId="24" xfId="0" applyNumberFormat="1" applyFont="1" applyFill="1" applyBorder="1" applyAlignment="1">
      <alignment horizontal="right" vertical="center"/>
    </xf>
    <xf numFmtId="164" fontId="70" fillId="57" borderId="0" xfId="0" applyNumberFormat="1" applyFont="1" applyFill="1" applyBorder="1" applyAlignment="1">
      <alignment vertical="center"/>
    </xf>
    <xf numFmtId="164" fontId="28" fillId="57" borderId="25" xfId="0" applyNumberFormat="1" applyFont="1" applyFill="1" applyBorder="1" applyAlignment="1">
      <alignment horizontal="right" vertical="center"/>
    </xf>
    <xf numFmtId="0" fontId="32" fillId="57" borderId="50" xfId="0" applyFont="1" applyFill="1" applyBorder="1" applyAlignment="1">
      <alignment vertical="center" wrapText="1"/>
    </xf>
    <xf numFmtId="164" fontId="28" fillId="57" borderId="26" xfId="0" applyNumberFormat="1" applyFont="1" applyFill="1" applyBorder="1" applyAlignment="1">
      <alignment vertical="center"/>
    </xf>
    <xf numFmtId="164" fontId="28" fillId="57" borderId="27" xfId="0" applyNumberFormat="1" applyFont="1" applyFill="1" applyBorder="1" applyAlignment="1">
      <alignment vertical="center"/>
    </xf>
    <xf numFmtId="164" fontId="28" fillId="57" borderId="27" xfId="0" applyNumberFormat="1" applyFont="1" applyFill="1" applyBorder="1" applyAlignment="1">
      <alignment horizontal="right" vertical="center"/>
    </xf>
    <xf numFmtId="164" fontId="28" fillId="57" borderId="28" xfId="0" applyNumberFormat="1" applyFont="1" applyFill="1" applyBorder="1" applyAlignment="1">
      <alignment horizontal="right" vertical="center"/>
    </xf>
    <xf numFmtId="164" fontId="24" fillId="22" borderId="33" xfId="0" applyNumberFormat="1" applyFont="1" applyFill="1" applyBorder="1" applyAlignment="1">
      <alignment/>
    </xf>
    <xf numFmtId="164" fontId="24" fillId="22" borderId="34" xfId="0" applyNumberFormat="1" applyFont="1" applyFill="1" applyBorder="1" applyAlignment="1">
      <alignment/>
    </xf>
    <xf numFmtId="164" fontId="24" fillId="22" borderId="35" xfId="0" applyNumberFormat="1" applyFont="1" applyFill="1" applyBorder="1" applyAlignment="1">
      <alignment/>
    </xf>
    <xf numFmtId="164" fontId="31" fillId="56" borderId="20" xfId="0" applyNumberFormat="1" applyFont="1" applyFill="1" applyBorder="1" applyAlignment="1">
      <alignment/>
    </xf>
    <xf numFmtId="164" fontId="31" fillId="56" borderId="21" xfId="0" applyNumberFormat="1" applyFont="1" applyFill="1" applyBorder="1" applyAlignment="1">
      <alignment/>
    </xf>
    <xf numFmtId="164" fontId="31" fillId="56" borderId="21" xfId="0" applyNumberFormat="1" applyFont="1" applyFill="1" applyBorder="1" applyAlignment="1">
      <alignment horizontal="right"/>
    </xf>
    <xf numFmtId="164" fontId="31" fillId="56" borderId="22" xfId="0" applyNumberFormat="1" applyFont="1" applyFill="1" applyBorder="1" applyAlignment="1">
      <alignment horizontal="right"/>
    </xf>
    <xf numFmtId="164" fontId="28" fillId="56" borderId="29" xfId="0" applyNumberFormat="1" applyFont="1" applyFill="1" applyBorder="1" applyAlignment="1">
      <alignment/>
    </xf>
    <xf numFmtId="164" fontId="28" fillId="56" borderId="30" xfId="0" applyNumberFormat="1" applyFont="1" applyFill="1" applyBorder="1" applyAlignment="1">
      <alignment/>
    </xf>
    <xf numFmtId="164" fontId="28" fillId="56" borderId="36" xfId="0" applyNumberFormat="1" applyFont="1" applyFill="1" applyBorder="1" applyAlignment="1">
      <alignment/>
    </xf>
    <xf numFmtId="164" fontId="31" fillId="56" borderId="29" xfId="0" applyNumberFormat="1" applyFont="1" applyFill="1" applyBorder="1" applyAlignment="1">
      <alignment/>
    </xf>
    <xf numFmtId="164" fontId="31" fillId="56" borderId="30" xfId="0" applyNumberFormat="1" applyFont="1" applyFill="1" applyBorder="1" applyAlignment="1">
      <alignment horizontal="right"/>
    </xf>
    <xf numFmtId="164" fontId="31" fillId="56" borderId="25" xfId="0" applyNumberFormat="1" applyFont="1" applyFill="1" applyBorder="1" applyAlignment="1">
      <alignment horizontal="right"/>
    </xf>
    <xf numFmtId="164" fontId="31" fillId="56" borderId="30" xfId="0" applyNumberFormat="1" applyFont="1" applyFill="1" applyBorder="1" applyAlignment="1">
      <alignment/>
    </xf>
    <xf numFmtId="164" fontId="31" fillId="56" borderId="36" xfId="0" applyNumberFormat="1" applyFont="1" applyFill="1" applyBorder="1" applyAlignment="1">
      <alignment/>
    </xf>
    <xf numFmtId="164" fontId="68" fillId="56" borderId="30" xfId="0" applyNumberFormat="1" applyFont="1" applyFill="1" applyBorder="1" applyAlignment="1">
      <alignment/>
    </xf>
    <xf numFmtId="164" fontId="28" fillId="56" borderId="30" xfId="0" applyNumberFormat="1" applyFont="1" applyFill="1" applyBorder="1" applyAlignment="1">
      <alignment horizontal="right"/>
    </xf>
    <xf numFmtId="164" fontId="28" fillId="56" borderId="25" xfId="0" applyNumberFormat="1" applyFont="1" applyFill="1" applyBorder="1" applyAlignment="1">
      <alignment horizontal="right"/>
    </xf>
    <xf numFmtId="164" fontId="68" fillId="56" borderId="23" xfId="0" applyNumberFormat="1" applyFont="1" applyFill="1" applyBorder="1" applyAlignment="1">
      <alignment/>
    </xf>
    <xf numFmtId="164" fontId="68" fillId="56" borderId="24" xfId="0" applyNumberFormat="1" applyFont="1" applyFill="1" applyBorder="1" applyAlignment="1">
      <alignment horizontal="right"/>
    </xf>
    <xf numFmtId="164" fontId="68" fillId="56" borderId="25" xfId="0" applyNumberFormat="1" applyFont="1" applyFill="1" applyBorder="1" applyAlignment="1">
      <alignment horizontal="right"/>
    </xf>
    <xf numFmtId="164" fontId="31" fillId="56" borderId="36" xfId="0" applyNumberFormat="1" applyFont="1" applyFill="1" applyBorder="1" applyAlignment="1">
      <alignment horizontal="right"/>
    </xf>
    <xf numFmtId="164" fontId="28" fillId="56" borderId="36" xfId="0" applyNumberFormat="1" applyFont="1" applyFill="1" applyBorder="1" applyAlignment="1">
      <alignment horizontal="right"/>
    </xf>
    <xf numFmtId="164" fontId="68" fillId="56" borderId="31" xfId="0" applyNumberFormat="1" applyFont="1" applyFill="1" applyBorder="1" applyAlignment="1">
      <alignment/>
    </xf>
    <xf numFmtId="164" fontId="68" fillId="56" borderId="32" xfId="0" applyNumberFormat="1" applyFont="1" applyFill="1" applyBorder="1" applyAlignment="1">
      <alignment/>
    </xf>
    <xf numFmtId="164" fontId="68" fillId="56" borderId="32" xfId="0" applyNumberFormat="1" applyFont="1" applyFill="1" applyBorder="1" applyAlignment="1">
      <alignment horizontal="right"/>
    </xf>
    <xf numFmtId="164" fontId="68" fillId="56" borderId="37" xfId="0" applyNumberFormat="1" applyFont="1" applyFill="1" applyBorder="1" applyAlignment="1">
      <alignment horizontal="right"/>
    </xf>
    <xf numFmtId="164" fontId="24" fillId="55" borderId="33" xfId="0" applyNumberFormat="1" applyFont="1" applyFill="1" applyBorder="1" applyAlignment="1">
      <alignment/>
    </xf>
    <xf numFmtId="164" fontId="24" fillId="55" borderId="34" xfId="0" applyNumberFormat="1" applyFont="1" applyFill="1" applyBorder="1" applyAlignment="1">
      <alignment/>
    </xf>
    <xf numFmtId="164" fontId="24" fillId="55" borderId="35" xfId="0" applyNumberFormat="1" applyFont="1" applyFill="1" applyBorder="1" applyAlignment="1">
      <alignment/>
    </xf>
    <xf numFmtId="164" fontId="31" fillId="0" borderId="29" xfId="0" applyNumberFormat="1" applyFont="1" applyFill="1" applyBorder="1" applyAlignment="1">
      <alignment/>
    </xf>
    <xf numFmtId="164" fontId="31" fillId="0" borderId="30" xfId="0" applyNumberFormat="1" applyFont="1" applyFill="1" applyBorder="1" applyAlignment="1">
      <alignment/>
    </xf>
    <xf numFmtId="164" fontId="31" fillId="0" borderId="30" xfId="0" applyNumberFormat="1" applyFont="1" applyFill="1" applyBorder="1" applyAlignment="1">
      <alignment horizontal="right"/>
    </xf>
    <xf numFmtId="164" fontId="31" fillId="0" borderId="36" xfId="0" applyNumberFormat="1" applyFont="1" applyFill="1" applyBorder="1" applyAlignment="1">
      <alignment horizontal="right"/>
    </xf>
    <xf numFmtId="164" fontId="28" fillId="0" borderId="29" xfId="0" applyNumberFormat="1" applyFont="1" applyFill="1" applyBorder="1" applyAlignment="1">
      <alignment/>
    </xf>
    <xf numFmtId="164" fontId="28" fillId="0" borderId="30" xfId="0" applyNumberFormat="1" applyFont="1" applyFill="1" applyBorder="1" applyAlignment="1">
      <alignment/>
    </xf>
    <xf numFmtId="164" fontId="28" fillId="0" borderId="30" xfId="0" applyNumberFormat="1" applyFont="1" applyFill="1" applyBorder="1" applyAlignment="1">
      <alignment horizontal="right"/>
    </xf>
    <xf numFmtId="164" fontId="28" fillId="0" borderId="36" xfId="0" applyNumberFormat="1" applyFont="1" applyFill="1" applyBorder="1" applyAlignment="1">
      <alignment horizontal="right"/>
    </xf>
    <xf numFmtId="164" fontId="28" fillId="0" borderId="36" xfId="0" applyNumberFormat="1" applyFont="1" applyFill="1" applyBorder="1" applyAlignment="1">
      <alignment/>
    </xf>
    <xf numFmtId="164" fontId="31" fillId="0" borderId="24" xfId="0" applyNumberFormat="1" applyFont="1" applyFill="1" applyBorder="1" applyAlignment="1">
      <alignment horizontal="right"/>
    </xf>
    <xf numFmtId="164" fontId="31" fillId="0" borderId="25" xfId="0" applyNumberFormat="1" applyFont="1" applyFill="1" applyBorder="1" applyAlignment="1">
      <alignment horizontal="right"/>
    </xf>
    <xf numFmtId="164" fontId="68" fillId="0" borderId="31" xfId="0" applyNumberFormat="1" applyFont="1" applyFill="1" applyBorder="1" applyAlignment="1">
      <alignment/>
    </xf>
    <xf numFmtId="164" fontId="68" fillId="0" borderId="32" xfId="0" applyNumberFormat="1" applyFont="1" applyFill="1" applyBorder="1" applyAlignment="1">
      <alignment/>
    </xf>
    <xf numFmtId="164" fontId="68" fillId="0" borderId="32" xfId="0" applyNumberFormat="1" applyFont="1" applyFill="1" applyBorder="1" applyAlignment="1">
      <alignment horizontal="right"/>
    </xf>
    <xf numFmtId="164" fontId="68" fillId="0" borderId="37" xfId="0" applyNumberFormat="1" applyFont="1" applyFill="1" applyBorder="1" applyAlignment="1">
      <alignment horizontal="right"/>
    </xf>
    <xf numFmtId="164" fontId="31" fillId="0" borderId="20" xfId="0" applyNumberFormat="1" applyFont="1" applyFill="1" applyBorder="1" applyAlignment="1">
      <alignment/>
    </xf>
    <xf numFmtId="164" fontId="31" fillId="0" borderId="21" xfId="0" applyNumberFormat="1" applyFont="1" applyFill="1" applyBorder="1" applyAlignment="1">
      <alignment/>
    </xf>
    <xf numFmtId="164" fontId="31" fillId="0" borderId="21" xfId="0" applyNumberFormat="1" applyFont="1" applyFill="1" applyBorder="1" applyAlignment="1">
      <alignment horizontal="right"/>
    </xf>
    <xf numFmtId="164" fontId="31" fillId="0" borderId="22" xfId="0" applyNumberFormat="1" applyFont="1" applyFill="1" applyBorder="1" applyAlignment="1">
      <alignment horizontal="right"/>
    </xf>
    <xf numFmtId="164" fontId="31" fillId="0" borderId="23" xfId="0" applyNumberFormat="1" applyFont="1" applyFill="1" applyBorder="1" applyAlignment="1">
      <alignment/>
    </xf>
    <xf numFmtId="164" fontId="31" fillId="0" borderId="24" xfId="0" applyNumberFormat="1" applyFont="1" applyFill="1" applyBorder="1" applyAlignment="1">
      <alignment/>
    </xf>
    <xf numFmtId="164" fontId="31" fillId="0" borderId="25" xfId="0" applyNumberFormat="1" applyFont="1" applyFill="1" applyBorder="1" applyAlignment="1">
      <alignment/>
    </xf>
    <xf numFmtId="164" fontId="31" fillId="0" borderId="22" xfId="0" applyNumberFormat="1" applyFont="1" applyFill="1" applyBorder="1" applyAlignment="1">
      <alignment/>
    </xf>
    <xf numFmtId="164" fontId="31" fillId="0" borderId="38" xfId="0" applyNumberFormat="1" applyFont="1" applyFill="1" applyBorder="1" applyAlignment="1">
      <alignment/>
    </xf>
    <xf numFmtId="165" fontId="28" fillId="0" borderId="0" xfId="93" applyNumberFormat="1" applyFont="1">
      <alignment vertical="center"/>
      <protection/>
    </xf>
    <xf numFmtId="165" fontId="28" fillId="0" borderId="0" xfId="0" applyNumberFormat="1" applyFont="1" applyAlignment="1">
      <alignment vertical="center"/>
    </xf>
    <xf numFmtId="165" fontId="68" fillId="0" borderId="0" xfId="93" applyNumberFormat="1" applyFont="1">
      <alignment vertical="center"/>
      <protection/>
    </xf>
    <xf numFmtId="165" fontId="71" fillId="0" borderId="0" xfId="0" applyNumberFormat="1" applyFont="1" applyAlignment="1">
      <alignment vertical="center"/>
    </xf>
    <xf numFmtId="164" fontId="31" fillId="0" borderId="21" xfId="0" applyNumberFormat="1" applyFont="1" applyFill="1" applyBorder="1" applyAlignment="1">
      <alignment horizontal="right" vertical="center"/>
    </xf>
    <xf numFmtId="164" fontId="31" fillId="0" borderId="22" xfId="0" applyNumberFormat="1" applyFont="1" applyFill="1" applyBorder="1" applyAlignment="1">
      <alignment horizontal="right" vertical="center"/>
    </xf>
    <xf numFmtId="164" fontId="24" fillId="22" borderId="34" xfId="0" applyNumberFormat="1" applyFont="1" applyFill="1" applyBorder="1" applyAlignment="1">
      <alignment vertical="center"/>
    </xf>
    <xf numFmtId="164" fontId="24" fillId="22" borderId="35" xfId="0" applyNumberFormat="1" applyFont="1" applyFill="1" applyBorder="1" applyAlignment="1">
      <alignment vertical="center"/>
    </xf>
    <xf numFmtId="165" fontId="67" fillId="0" borderId="0" xfId="0" applyNumberFormat="1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1" fillId="0" borderId="0" xfId="93" applyNumberFormat="1" applyFont="1">
      <alignment vertical="center"/>
      <protection/>
    </xf>
    <xf numFmtId="164" fontId="28" fillId="0" borderId="24" xfId="95" applyNumberFormat="1" applyFont="1" applyFill="1" applyBorder="1" applyAlignment="1" applyProtection="1">
      <alignment horizontal="right" vertical="top"/>
      <protection/>
    </xf>
    <xf numFmtId="166" fontId="28" fillId="0" borderId="0" xfId="95" applyNumberFormat="1" applyFont="1" applyFill="1" applyBorder="1" applyAlignment="1" applyProtection="1">
      <alignment horizontal="right" vertical="top"/>
      <protection/>
    </xf>
    <xf numFmtId="165" fontId="21" fillId="0" borderId="0" xfId="93" applyNumberFormat="1" applyFont="1" applyFill="1" applyBorder="1">
      <alignment vertical="center"/>
      <protection/>
    </xf>
    <xf numFmtId="165" fontId="28" fillId="0" borderId="0" xfId="95" applyNumberFormat="1" applyFont="1" applyFill="1" applyBorder="1" applyAlignment="1" applyProtection="1">
      <alignment horizontal="right" vertical="top"/>
      <protection/>
    </xf>
    <xf numFmtId="165" fontId="42" fillId="0" borderId="0" xfId="95" applyNumberFormat="1" applyFont="1" applyFill="1" applyBorder="1" applyAlignment="1" applyProtection="1">
      <alignment horizontal="right" vertical="top"/>
      <protection/>
    </xf>
    <xf numFmtId="165" fontId="28" fillId="0" borderId="0" xfId="95" applyNumberFormat="1" applyFont="1" applyFill="1" applyBorder="1" applyAlignment="1" applyProtection="1">
      <alignment vertical="top"/>
      <protection/>
    </xf>
    <xf numFmtId="165" fontId="41" fillId="0" borderId="0" xfId="95" applyNumberFormat="1" applyFont="1" applyFill="1" applyBorder="1" applyAlignment="1" applyProtection="1">
      <alignment horizontal="right" vertical="top"/>
      <protection/>
    </xf>
    <xf numFmtId="167" fontId="21" fillId="0" borderId="0" xfId="93" applyNumberFormat="1" applyFont="1">
      <alignment vertical="center"/>
      <protection/>
    </xf>
    <xf numFmtId="167" fontId="21" fillId="0" borderId="0" xfId="93" applyNumberFormat="1" applyFont="1" applyFill="1" applyBorder="1">
      <alignment vertical="center"/>
      <protection/>
    </xf>
    <xf numFmtId="164" fontId="28" fillId="0" borderId="51" xfId="0" applyNumberFormat="1" applyFont="1" applyFill="1" applyBorder="1" applyAlignment="1">
      <alignment/>
    </xf>
    <xf numFmtId="164" fontId="31" fillId="0" borderId="52" xfId="0" applyNumberFormat="1" applyFont="1" applyFill="1" applyBorder="1" applyAlignment="1">
      <alignment horizontal="right"/>
    </xf>
    <xf numFmtId="164" fontId="28" fillId="0" borderId="24" xfId="0" applyNumberFormat="1" applyFont="1" applyFill="1" applyBorder="1" applyAlignment="1">
      <alignment/>
    </xf>
    <xf numFmtId="164" fontId="31" fillId="0" borderId="36" xfId="0" applyNumberFormat="1" applyFont="1" applyFill="1" applyBorder="1" applyAlignment="1">
      <alignment/>
    </xf>
    <xf numFmtId="164" fontId="31" fillId="0" borderId="24" xfId="93" applyNumberFormat="1" applyFont="1" applyBorder="1">
      <alignment vertical="center"/>
      <protection/>
    </xf>
    <xf numFmtId="164" fontId="31" fillId="0" borderId="53" xfId="93" applyNumberFormat="1" applyFont="1" applyBorder="1">
      <alignment vertical="center"/>
      <protection/>
    </xf>
    <xf numFmtId="164" fontId="31" fillId="56" borderId="22" xfId="0" applyNumberFormat="1" applyFont="1" applyFill="1" applyBorder="1" applyAlignment="1">
      <alignment/>
    </xf>
    <xf numFmtId="164" fontId="21" fillId="0" borderId="0" xfId="93" applyNumberFormat="1" applyFont="1">
      <alignment vertical="center"/>
      <protection/>
    </xf>
    <xf numFmtId="164" fontId="21" fillId="0" borderId="0" xfId="0" applyNumberFormat="1" applyFont="1" applyAlignment="1">
      <alignment vertical="center"/>
    </xf>
    <xf numFmtId="164" fontId="72" fillId="0" borderId="24" xfId="0" applyNumberFormat="1" applyFont="1" applyFill="1" applyBorder="1" applyAlignment="1">
      <alignment horizontal="right"/>
    </xf>
    <xf numFmtId="164" fontId="68" fillId="0" borderId="30" xfId="0" applyNumberFormat="1" applyFont="1" applyFill="1" applyBorder="1" applyAlignment="1">
      <alignment horizontal="right"/>
    </xf>
    <xf numFmtId="164" fontId="28" fillId="0" borderId="54" xfId="0" applyNumberFormat="1" applyFont="1" applyFill="1" applyBorder="1" applyAlignment="1">
      <alignment/>
    </xf>
    <xf numFmtId="164" fontId="31" fillId="0" borderId="54" xfId="0" applyNumberFormat="1" applyFont="1" applyFill="1" applyBorder="1" applyAlignment="1">
      <alignment/>
    </xf>
    <xf numFmtId="164" fontId="28" fillId="0" borderId="24" xfId="0" applyNumberFormat="1" applyFont="1" applyFill="1" applyBorder="1" applyAlignment="1">
      <alignment horizontal="right"/>
    </xf>
    <xf numFmtId="164" fontId="24" fillId="0" borderId="24" xfId="0" applyNumberFormat="1" applyFont="1" applyFill="1" applyBorder="1" applyAlignment="1">
      <alignment vertical="center"/>
    </xf>
    <xf numFmtId="164" fontId="24" fillId="0" borderId="25" xfId="0" applyNumberFormat="1" applyFont="1" applyFill="1" applyBorder="1" applyAlignment="1">
      <alignment vertical="center"/>
    </xf>
    <xf numFmtId="164" fontId="24" fillId="0" borderId="23" xfId="0" applyNumberFormat="1" applyFont="1" applyFill="1" applyBorder="1" applyAlignment="1">
      <alignment vertical="center"/>
    </xf>
    <xf numFmtId="166" fontId="28" fillId="0" borderId="0" xfId="95" applyNumberFormat="1" applyFont="1" applyFill="1" applyBorder="1" applyAlignment="1" applyProtection="1">
      <alignment vertical="top"/>
      <protection/>
    </xf>
    <xf numFmtId="164" fontId="28" fillId="0" borderId="0" xfId="93" applyNumberFormat="1" applyFont="1" applyFill="1" applyBorder="1">
      <alignment vertical="center"/>
      <protection/>
    </xf>
    <xf numFmtId="164" fontId="21" fillId="0" borderId="0" xfId="0" applyNumberFormat="1" applyFont="1" applyFill="1" applyBorder="1" applyAlignment="1">
      <alignment vertical="center"/>
    </xf>
    <xf numFmtId="164" fontId="21" fillId="0" borderId="0" xfId="93" applyNumberFormat="1" applyFont="1" applyFill="1" applyBorder="1">
      <alignment vertical="center"/>
      <protection/>
    </xf>
    <xf numFmtId="166" fontId="28" fillId="0" borderId="0" xfId="94" applyNumberFormat="1" applyFont="1" applyFill="1" applyBorder="1" applyAlignment="1" applyProtection="1">
      <alignment vertical="top"/>
      <protection/>
    </xf>
    <xf numFmtId="166" fontId="28" fillId="53" borderId="0" xfId="94" applyNumberFormat="1" applyFont="1" applyFill="1" applyBorder="1" applyAlignment="1" applyProtection="1">
      <alignment vertical="top"/>
      <protection/>
    </xf>
    <xf numFmtId="164" fontId="31" fillId="57" borderId="25" xfId="0" applyNumberFormat="1" applyFont="1" applyFill="1" applyBorder="1" applyAlignment="1">
      <alignment horizontal="right"/>
    </xf>
    <xf numFmtId="166" fontId="42" fillId="0" borderId="0" xfId="95" applyNumberFormat="1" applyFont="1" applyFill="1" applyBorder="1" applyAlignment="1" applyProtection="1">
      <alignment horizontal="right" vertical="top"/>
      <protection/>
    </xf>
    <xf numFmtId="166" fontId="24" fillId="0" borderId="0" xfId="95" applyNumberFormat="1" applyFont="1" applyFill="1" applyBorder="1" applyAlignment="1" applyProtection="1">
      <alignment horizontal="right" vertical="top"/>
      <protection/>
    </xf>
    <xf numFmtId="166" fontId="41" fillId="0" borderId="0" xfId="95" applyNumberFormat="1" applyFont="1" applyFill="1" applyBorder="1" applyAlignment="1" applyProtection="1">
      <alignment horizontal="right" vertical="top"/>
      <protection/>
    </xf>
    <xf numFmtId="4" fontId="28" fillId="0" borderId="0" xfId="93" applyFont="1" applyFill="1" applyBorder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0" borderId="0" xfId="93" applyFont="1" applyFill="1" applyBorder="1">
      <alignment vertical="center"/>
      <protection/>
    </xf>
    <xf numFmtId="165" fontId="24" fillId="0" borderId="0" xfId="95" applyNumberFormat="1" applyFont="1" applyFill="1" applyBorder="1" applyAlignment="1" applyProtection="1">
      <alignment horizontal="center" vertical="top" wrapText="1"/>
      <protection/>
    </xf>
    <xf numFmtId="165" fontId="28" fillId="0" borderId="0" xfId="95" applyNumberFormat="1" applyFont="1" applyFill="1" applyBorder="1" applyAlignment="1" applyProtection="1">
      <alignment horizontal="center" vertical="top" wrapText="1"/>
      <protection/>
    </xf>
    <xf numFmtId="165" fontId="24" fillId="0" borderId="0" xfId="95" applyNumberFormat="1" applyFont="1" applyFill="1" applyBorder="1" applyAlignment="1" applyProtection="1">
      <alignment horizontal="center" vertical="top"/>
      <protection/>
    </xf>
    <xf numFmtId="165" fontId="28" fillId="0" borderId="0" xfId="95" applyNumberFormat="1" applyFont="1" applyFill="1" applyBorder="1" applyAlignment="1" applyProtection="1">
      <alignment horizontal="center" vertical="top"/>
      <protection/>
    </xf>
    <xf numFmtId="164" fontId="24" fillId="0" borderId="0" xfId="95" applyNumberFormat="1" applyFont="1" applyFill="1" applyBorder="1" applyAlignment="1" applyProtection="1">
      <alignment horizontal="right" vertical="top"/>
      <protection/>
    </xf>
    <xf numFmtId="164" fontId="28" fillId="0" borderId="0" xfId="95" applyNumberFormat="1" applyFont="1" applyFill="1" applyBorder="1" applyAlignment="1" applyProtection="1">
      <alignment horizontal="right" vertical="top"/>
      <protection/>
    </xf>
    <xf numFmtId="164" fontId="73" fillId="0" borderId="0" xfId="93" applyNumberFormat="1" applyFont="1" applyFill="1" applyBorder="1">
      <alignment vertical="center"/>
      <protection/>
    </xf>
    <xf numFmtId="166" fontId="74" fillId="0" borderId="0" xfId="95" applyNumberFormat="1" applyFont="1" applyFill="1" applyBorder="1" applyAlignment="1" applyProtection="1">
      <alignment horizontal="right" vertical="top"/>
      <protection/>
    </xf>
    <xf numFmtId="164" fontId="24" fillId="22" borderId="33" xfId="0" applyNumberFormat="1" applyFont="1" applyFill="1" applyBorder="1" applyAlignment="1">
      <alignment vertical="center"/>
    </xf>
    <xf numFmtId="164" fontId="31" fillId="56" borderId="20" xfId="0" applyNumberFormat="1" applyFont="1" applyFill="1" applyBorder="1" applyAlignment="1">
      <alignment vertical="center"/>
    </xf>
    <xf numFmtId="164" fontId="31" fillId="56" borderId="21" xfId="0" applyNumberFormat="1" applyFont="1" applyFill="1" applyBorder="1" applyAlignment="1">
      <alignment vertical="center"/>
    </xf>
    <xf numFmtId="164" fontId="31" fillId="56" borderId="22" xfId="0" applyNumberFormat="1" applyFont="1" applyFill="1" applyBorder="1" applyAlignment="1">
      <alignment vertical="center"/>
    </xf>
    <xf numFmtId="164" fontId="28" fillId="56" borderId="29" xfId="0" applyNumberFormat="1" applyFont="1" applyFill="1" applyBorder="1" applyAlignment="1">
      <alignment vertical="center"/>
    </xf>
    <xf numFmtId="164" fontId="31" fillId="56" borderId="29" xfId="0" applyNumberFormat="1" applyFont="1" applyFill="1" applyBorder="1" applyAlignment="1">
      <alignment vertical="center"/>
    </xf>
    <xf numFmtId="164" fontId="31" fillId="56" borderId="36" xfId="0" applyNumberFormat="1" applyFont="1" applyFill="1" applyBorder="1" applyAlignment="1">
      <alignment vertical="center"/>
    </xf>
    <xf numFmtId="164" fontId="28" fillId="56" borderId="25" xfId="0" applyNumberFormat="1" applyFont="1" applyFill="1" applyBorder="1" applyAlignment="1">
      <alignment horizontal="right" vertical="center"/>
    </xf>
    <xf numFmtId="164" fontId="68" fillId="56" borderId="23" xfId="0" applyNumberFormat="1" applyFont="1" applyFill="1" applyBorder="1" applyAlignment="1">
      <alignment vertical="center"/>
    </xf>
    <xf numFmtId="164" fontId="68" fillId="56" borderId="30" xfId="0" applyNumberFormat="1" applyFont="1" applyFill="1" applyBorder="1" applyAlignment="1">
      <alignment vertical="center"/>
    </xf>
    <xf numFmtId="164" fontId="68" fillId="56" borderId="24" xfId="0" applyNumberFormat="1" applyFont="1" applyFill="1" applyBorder="1" applyAlignment="1">
      <alignment horizontal="right" vertical="center"/>
    </xf>
    <xf numFmtId="164" fontId="68" fillId="56" borderId="25" xfId="0" applyNumberFormat="1" applyFont="1" applyFill="1" applyBorder="1" applyAlignment="1">
      <alignment horizontal="right" vertical="center"/>
    </xf>
    <xf numFmtId="164" fontId="31" fillId="56" borderId="36" xfId="0" applyNumberFormat="1" applyFont="1" applyFill="1" applyBorder="1" applyAlignment="1">
      <alignment horizontal="right" vertical="center"/>
    </xf>
    <xf numFmtId="164" fontId="28" fillId="56" borderId="36" xfId="0" applyNumberFormat="1" applyFont="1" applyFill="1" applyBorder="1" applyAlignment="1">
      <alignment horizontal="right" vertical="center"/>
    </xf>
    <xf numFmtId="164" fontId="68" fillId="56" borderId="31" xfId="0" applyNumberFormat="1" applyFont="1" applyFill="1" applyBorder="1" applyAlignment="1">
      <alignment vertical="center"/>
    </xf>
    <xf numFmtId="164" fontId="68" fillId="56" borderId="32" xfId="0" applyNumberFormat="1" applyFont="1" applyFill="1" applyBorder="1" applyAlignment="1">
      <alignment vertical="center"/>
    </xf>
    <xf numFmtId="164" fontId="68" fillId="56" borderId="32" xfId="0" applyNumberFormat="1" applyFont="1" applyFill="1" applyBorder="1" applyAlignment="1">
      <alignment horizontal="right" vertical="center"/>
    </xf>
    <xf numFmtId="164" fontId="68" fillId="56" borderId="37" xfId="0" applyNumberFormat="1" applyFont="1" applyFill="1" applyBorder="1" applyAlignment="1">
      <alignment horizontal="right" vertical="center"/>
    </xf>
    <xf numFmtId="164" fontId="28" fillId="0" borderId="54" xfId="0" applyNumberFormat="1" applyFont="1" applyFill="1" applyBorder="1" applyAlignment="1">
      <alignment vertical="center"/>
    </xf>
    <xf numFmtId="164" fontId="31" fillId="0" borderId="54" xfId="0" applyNumberFormat="1" applyFont="1" applyFill="1" applyBorder="1" applyAlignment="1">
      <alignment vertical="center"/>
    </xf>
    <xf numFmtId="164" fontId="68" fillId="0" borderId="30" xfId="0" applyNumberFormat="1" applyFont="1" applyFill="1" applyBorder="1" applyAlignment="1">
      <alignment horizontal="right" vertical="center"/>
    </xf>
    <xf numFmtId="164" fontId="31" fillId="0" borderId="44" xfId="0" applyNumberFormat="1" applyFont="1" applyFill="1" applyBorder="1" applyAlignment="1">
      <alignment vertical="center"/>
    </xf>
    <xf numFmtId="164" fontId="31" fillId="0" borderId="44" xfId="0" applyNumberFormat="1" applyFont="1" applyFill="1" applyBorder="1" applyAlignment="1">
      <alignment horizontal="right" vertical="center"/>
    </xf>
    <xf numFmtId="164" fontId="31" fillId="0" borderId="55" xfId="0" applyNumberFormat="1" applyFont="1" applyFill="1" applyBorder="1" applyAlignment="1">
      <alignment horizontal="right" vertical="center"/>
    </xf>
    <xf numFmtId="164" fontId="28" fillId="0" borderId="32" xfId="0" applyNumberFormat="1" applyFont="1" applyFill="1" applyBorder="1" applyAlignment="1">
      <alignment vertical="center"/>
    </xf>
    <xf numFmtId="164" fontId="28" fillId="0" borderId="32" xfId="0" applyNumberFormat="1" applyFont="1" applyFill="1" applyBorder="1" applyAlignment="1">
      <alignment horizontal="right" vertical="center"/>
    </xf>
    <xf numFmtId="164" fontId="28" fillId="0" borderId="37" xfId="0" applyNumberFormat="1" applyFont="1" applyFill="1" applyBorder="1" applyAlignment="1">
      <alignment horizontal="right" vertical="center"/>
    </xf>
    <xf numFmtId="0" fontId="25" fillId="0" borderId="5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164" fontId="71" fillId="0" borderId="39" xfId="0" applyNumberFormat="1" applyFont="1" applyFill="1" applyBorder="1" applyAlignment="1">
      <alignment horizontal="center"/>
    </xf>
    <xf numFmtId="164" fontId="71" fillId="0" borderId="57" xfId="0" applyNumberFormat="1" applyFont="1" applyFill="1" applyBorder="1" applyAlignment="1">
      <alignment horizontal="center"/>
    </xf>
    <xf numFmtId="164" fontId="71" fillId="0" borderId="58" xfId="0" applyNumberFormat="1" applyFont="1" applyFill="1" applyBorder="1" applyAlignment="1">
      <alignment horizontal="center"/>
    </xf>
    <xf numFmtId="164" fontId="24" fillId="0" borderId="59" xfId="0" applyNumberFormat="1" applyFont="1" applyFill="1" applyBorder="1" applyAlignment="1">
      <alignment horizontal="center" vertical="center"/>
    </xf>
    <xf numFmtId="164" fontId="24" fillId="0" borderId="60" xfId="0" applyNumberFormat="1" applyFont="1" applyFill="1" applyBorder="1" applyAlignment="1">
      <alignment horizontal="center" vertical="center"/>
    </xf>
    <xf numFmtId="164" fontId="24" fillId="0" borderId="61" xfId="0" applyNumberFormat="1" applyFont="1" applyFill="1" applyBorder="1" applyAlignment="1">
      <alignment horizontal="center" vertical="center"/>
    </xf>
  </cellXfs>
  <cellStyles count="9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_Дополнительные   формы ДПН ДТЭ" xfId="94"/>
    <cellStyle name="Обычный_затраты, выручка по Шаблону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Хороший" xfId="111"/>
    <cellStyle name="Хороший 2" xfId="112"/>
  </cellStyles>
  <dxfs count="2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zoomScale="86" zoomScaleNormal="86" zoomScalePageLayoutView="0" workbookViewId="0" topLeftCell="A1">
      <selection activeCell="E38" sqref="E38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168" customWidth="1"/>
    <col min="8" max="8" width="13.00390625" style="168" customWidth="1"/>
    <col min="9" max="16384" width="9.140625" style="1" customWidth="1"/>
  </cols>
  <sheetData>
    <row r="1" spans="1:8" s="12" customFormat="1" ht="15.75">
      <c r="A1" s="9" t="s">
        <v>29</v>
      </c>
      <c r="B1" s="13"/>
      <c r="C1" s="14"/>
      <c r="D1" s="14"/>
      <c r="E1" s="14"/>
      <c r="F1" s="14"/>
      <c r="G1" s="171"/>
      <c r="H1" s="168"/>
    </row>
    <row r="2" spans="1:8" s="3" customFormat="1" ht="15.75" customHeight="1">
      <c r="A2" s="16" t="s">
        <v>37</v>
      </c>
      <c r="B2" s="11"/>
      <c r="C2" s="11"/>
      <c r="D2" s="11"/>
      <c r="E2" s="11"/>
      <c r="F2" s="11"/>
      <c r="G2" s="171"/>
      <c r="H2" s="169"/>
    </row>
    <row r="3" spans="1:8" s="3" customFormat="1" ht="15.75" customHeight="1" thickBot="1">
      <c r="A3" s="6"/>
      <c r="B3" s="10"/>
      <c r="C3" s="10"/>
      <c r="D3" s="10"/>
      <c r="E3" s="10"/>
      <c r="F3" s="10"/>
      <c r="G3" s="169"/>
      <c r="H3" s="169"/>
    </row>
    <row r="4" spans="1:8" s="2" customFormat="1" ht="15.75" customHeight="1" thickBot="1">
      <c r="A4" s="7"/>
      <c r="B4" s="256" t="s">
        <v>38</v>
      </c>
      <c r="C4" s="257"/>
      <c r="D4" s="257"/>
      <c r="E4" s="257"/>
      <c r="F4" s="258"/>
      <c r="G4" s="169"/>
      <c r="H4" s="169"/>
    </row>
    <row r="5" spans="1:8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  <c r="G5" s="169"/>
      <c r="H5" s="169"/>
    </row>
    <row r="6" spans="1:8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169"/>
      <c r="H6" s="169"/>
    </row>
    <row r="7" spans="1:6" ht="19.5" customHeight="1" thickBot="1">
      <c r="A7" s="54" t="s">
        <v>31</v>
      </c>
      <c r="B7" s="44">
        <f aca="true" t="shared" si="0" ref="B7:F19">B31+B47+B60+B73+B86+B99+B112+B125+B138+B151+B164+B177+B190</f>
        <v>119.698631</v>
      </c>
      <c r="C7" s="45">
        <f t="shared" si="0"/>
        <v>39.269004</v>
      </c>
      <c r="D7" s="45">
        <f t="shared" si="0"/>
        <v>1.262566</v>
      </c>
      <c r="E7" s="46">
        <f t="shared" si="0"/>
        <v>31.334399</v>
      </c>
      <c r="F7" s="46">
        <f>F8+F16+F20+F17</f>
        <v>47.832662000000006</v>
      </c>
    </row>
    <row r="8" spans="1:6" ht="13.5">
      <c r="A8" s="55" t="s">
        <v>10</v>
      </c>
      <c r="B8" s="17">
        <f>SUM(C8:F8)</f>
        <v>36.373141000000004</v>
      </c>
      <c r="C8" s="18">
        <f>C9+C10+C11+C12+C13+C14+C15</f>
        <v>0.11176</v>
      </c>
      <c r="D8" s="18">
        <f>D9+D10+D11+D12+D13+D14+D15</f>
        <v>0.00137</v>
      </c>
      <c r="E8" s="18">
        <f>E9+E10+E11+E12+E13+E14+E15</f>
        <v>2.636667</v>
      </c>
      <c r="F8" s="19">
        <f>F9+F10+F11+F12+F13+F14+F15</f>
        <v>33.623344</v>
      </c>
    </row>
    <row r="9" spans="1:8" ht="12.75">
      <c r="A9" s="56" t="s">
        <v>4</v>
      </c>
      <c r="B9" s="20">
        <f>SUM(C9:F9)</f>
        <v>13.449188</v>
      </c>
      <c r="C9" s="21">
        <f>C33+C49+C62+C75+C88+C101+C114+C127+C140+C153+C166+C179+C192</f>
        <v>0.011579</v>
      </c>
      <c r="D9" s="21">
        <f t="shared" si="0"/>
        <v>0</v>
      </c>
      <c r="E9" s="21">
        <f t="shared" si="0"/>
        <v>1.208666</v>
      </c>
      <c r="F9" s="22">
        <f t="shared" si="0"/>
        <v>12.228943</v>
      </c>
      <c r="H9" s="170"/>
    </row>
    <row r="10" spans="1:6" ht="12.75">
      <c r="A10" s="56" t="s">
        <v>11</v>
      </c>
      <c r="B10" s="20">
        <f>SUM(C10:F10)</f>
        <v>1.05862</v>
      </c>
      <c r="C10" s="21">
        <f t="shared" si="0"/>
        <v>0</v>
      </c>
      <c r="D10" s="21">
        <f t="shared" si="0"/>
        <v>0</v>
      </c>
      <c r="E10" s="21">
        <f t="shared" si="0"/>
        <v>0.523336</v>
      </c>
      <c r="F10" s="22">
        <f t="shared" si="0"/>
        <v>0.535284</v>
      </c>
    </row>
    <row r="11" spans="1:6" ht="12.75">
      <c r="A11" s="56" t="s">
        <v>5</v>
      </c>
      <c r="B11" s="20">
        <f>SUM(C11:F11)</f>
        <v>21.282739000000003</v>
      </c>
      <c r="C11" s="21">
        <f t="shared" si="0"/>
        <v>0.012871</v>
      </c>
      <c r="D11" s="21">
        <f t="shared" si="0"/>
        <v>0.00137</v>
      </c>
      <c r="E11" s="21">
        <f t="shared" si="0"/>
        <v>0.531023</v>
      </c>
      <c r="F11" s="22">
        <f t="shared" si="0"/>
        <v>20.737475000000003</v>
      </c>
    </row>
    <row r="12" spans="1:8" ht="12.75">
      <c r="A12" s="56" t="s">
        <v>23</v>
      </c>
      <c r="B12" s="20">
        <f aca="true" t="shared" si="1" ref="B12:B22">SUM(C12:F12)</f>
        <v>0.002772</v>
      </c>
      <c r="C12" s="21">
        <f t="shared" si="0"/>
        <v>0</v>
      </c>
      <c r="D12" s="21">
        <f t="shared" si="0"/>
        <v>0</v>
      </c>
      <c r="E12" s="21">
        <f t="shared" si="0"/>
        <v>0.002772</v>
      </c>
      <c r="F12" s="22">
        <f t="shared" si="0"/>
        <v>0</v>
      </c>
      <c r="H12" s="170"/>
    </row>
    <row r="13" spans="1:6" ht="12.75">
      <c r="A13" s="56" t="s">
        <v>24</v>
      </c>
      <c r="B13" s="20">
        <f t="shared" si="1"/>
        <v>0.320967</v>
      </c>
      <c r="C13" s="21">
        <f t="shared" si="0"/>
        <v>0</v>
      </c>
      <c r="D13" s="21">
        <f t="shared" si="0"/>
        <v>0</v>
      </c>
      <c r="E13" s="21">
        <f t="shared" si="0"/>
        <v>0.21654800000000002</v>
      </c>
      <c r="F13" s="22">
        <f t="shared" si="0"/>
        <v>0.104419</v>
      </c>
    </row>
    <row r="14" spans="1:6" ht="12.75">
      <c r="A14" s="56" t="s">
        <v>25</v>
      </c>
      <c r="B14" s="20">
        <f t="shared" si="1"/>
        <v>0.229186</v>
      </c>
      <c r="C14" s="21">
        <f t="shared" si="0"/>
        <v>0.076324</v>
      </c>
      <c r="D14" s="21">
        <f t="shared" si="0"/>
        <v>0</v>
      </c>
      <c r="E14" s="21">
        <f t="shared" si="0"/>
        <v>0.145098</v>
      </c>
      <c r="F14" s="22">
        <f t="shared" si="0"/>
        <v>0.007764</v>
      </c>
    </row>
    <row r="15" spans="1:6" ht="12.75">
      <c r="A15" s="56" t="s">
        <v>26</v>
      </c>
      <c r="B15" s="20">
        <f t="shared" si="1"/>
        <v>0.029669</v>
      </c>
      <c r="C15" s="21">
        <f t="shared" si="0"/>
        <v>0.010986000000000001</v>
      </c>
      <c r="D15" s="21">
        <f t="shared" si="0"/>
        <v>0</v>
      </c>
      <c r="E15" s="21">
        <f t="shared" si="0"/>
        <v>0.009224</v>
      </c>
      <c r="F15" s="22">
        <f t="shared" si="0"/>
        <v>0.009459</v>
      </c>
    </row>
    <row r="16" spans="1:6" ht="13.5">
      <c r="A16" s="55" t="s">
        <v>0</v>
      </c>
      <c r="B16" s="23">
        <f t="shared" si="1"/>
        <v>52.967773</v>
      </c>
      <c r="C16" s="202">
        <f t="shared" si="0"/>
        <v>19.158795</v>
      </c>
      <c r="D16" s="202">
        <f t="shared" si="0"/>
        <v>1.160576</v>
      </c>
      <c r="E16" s="202">
        <f t="shared" si="0"/>
        <v>19.931682999999996</v>
      </c>
      <c r="F16" s="203">
        <f t="shared" si="0"/>
        <v>12.716719000000005</v>
      </c>
    </row>
    <row r="17" spans="1:6" ht="13.5">
      <c r="A17" s="55" t="s">
        <v>12</v>
      </c>
      <c r="B17" s="23">
        <f t="shared" si="1"/>
        <v>29.302713</v>
      </c>
      <c r="C17" s="24">
        <f t="shared" si="0"/>
        <v>18.943445000000004</v>
      </c>
      <c r="D17" s="24">
        <f t="shared" si="0"/>
        <v>0.10062</v>
      </c>
      <c r="E17" s="24">
        <f t="shared" si="0"/>
        <v>8.766048999999999</v>
      </c>
      <c r="F17" s="25">
        <f t="shared" si="0"/>
        <v>1.4925989999999998</v>
      </c>
    </row>
    <row r="18" spans="1:7" ht="13.5">
      <c r="A18" s="56" t="s">
        <v>13</v>
      </c>
      <c r="B18" s="204">
        <f t="shared" si="1"/>
        <v>29.302713</v>
      </c>
      <c r="C18" s="24">
        <f t="shared" si="0"/>
        <v>18.943445000000004</v>
      </c>
      <c r="D18" s="24">
        <f t="shared" si="0"/>
        <v>0.10062</v>
      </c>
      <c r="E18" s="24">
        <f t="shared" si="0"/>
        <v>8.766048999999999</v>
      </c>
      <c r="F18" s="25">
        <f t="shared" si="0"/>
        <v>1.4925989999999998</v>
      </c>
      <c r="G18" s="5">
        <f>B18+B21</f>
        <v>30.357717</v>
      </c>
    </row>
    <row r="19" spans="1:7" ht="12.75">
      <c r="A19" s="57" t="s">
        <v>14</v>
      </c>
      <c r="B19" s="58">
        <f>SUM(C19:F19)</f>
        <v>44.40299999999999</v>
      </c>
      <c r="C19" s="21">
        <f t="shared" si="0"/>
        <v>27.028999999999996</v>
      </c>
      <c r="D19" s="21">
        <f t="shared" si="0"/>
        <v>0.156</v>
      </c>
      <c r="E19" s="21">
        <f t="shared" si="0"/>
        <v>14.725999999999999</v>
      </c>
      <c r="F19" s="22">
        <f t="shared" si="0"/>
        <v>2.492</v>
      </c>
      <c r="G19" s="168">
        <f>B19+B22</f>
        <v>46.904999999999994</v>
      </c>
    </row>
    <row r="20" spans="1:6" ht="13.5">
      <c r="A20" s="55" t="s">
        <v>15</v>
      </c>
      <c r="B20" s="23">
        <f t="shared" si="1"/>
        <v>1.055004</v>
      </c>
      <c r="C20" s="24">
        <f>C21</f>
        <v>1.055004</v>
      </c>
      <c r="D20" s="26"/>
      <c r="E20" s="26"/>
      <c r="F20" s="27"/>
    </row>
    <row r="21" spans="1:6" ht="12.75">
      <c r="A21" s="56" t="s">
        <v>13</v>
      </c>
      <c r="B21" s="20">
        <f t="shared" si="1"/>
        <v>1.055004</v>
      </c>
      <c r="C21" s="21">
        <f>C45</f>
        <v>1.055004</v>
      </c>
      <c r="D21" s="28"/>
      <c r="E21" s="28"/>
      <c r="F21" s="29"/>
    </row>
    <row r="22" spans="1:6" ht="12.75">
      <c r="A22" s="60" t="s">
        <v>16</v>
      </c>
      <c r="B22" s="58">
        <f t="shared" si="1"/>
        <v>2.502</v>
      </c>
      <c r="C22" s="59">
        <f>C46</f>
        <v>2.502</v>
      </c>
      <c r="D22" s="30"/>
      <c r="E22" s="30"/>
      <c r="F22" s="31"/>
    </row>
    <row r="23" spans="1:6" ht="13.5">
      <c r="A23" s="55" t="s">
        <v>32</v>
      </c>
      <c r="B23" s="23">
        <f>SUM(C23:F23)</f>
        <v>2.660332</v>
      </c>
      <c r="C23" s="24">
        <f>C24</f>
        <v>2.660332</v>
      </c>
      <c r="D23" s="26">
        <f>D24</f>
        <v>0</v>
      </c>
      <c r="E23" s="26">
        <f>E24</f>
        <v>0</v>
      </c>
      <c r="F23" s="27">
        <f>F24</f>
        <v>0</v>
      </c>
    </row>
    <row r="24" spans="1:6" ht="12.75">
      <c r="A24" s="56" t="s">
        <v>13</v>
      </c>
      <c r="B24" s="20">
        <f>SUM(C24:F24)</f>
        <v>2.660332</v>
      </c>
      <c r="C24" s="21">
        <f>C58</f>
        <v>2.660332</v>
      </c>
      <c r="D24" s="28"/>
      <c r="E24" s="28"/>
      <c r="F24" s="29"/>
    </row>
    <row r="25" spans="1:7" ht="15.75" customHeight="1" thickBot="1">
      <c r="A25" s="61" t="s">
        <v>14</v>
      </c>
      <c r="B25" s="32">
        <f>SUM(C25:F25)</f>
        <v>6.669</v>
      </c>
      <c r="C25" s="62">
        <f>C59</f>
        <v>6.669</v>
      </c>
      <c r="D25" s="33"/>
      <c r="E25" s="33"/>
      <c r="F25" s="34"/>
      <c r="G25" s="168">
        <f>B19+B22+B25</f>
        <v>53.57399999999999</v>
      </c>
    </row>
    <row r="26" spans="1:6" ht="1.5" customHeight="1" hidden="1" thickBot="1">
      <c r="A26" s="61"/>
      <c r="B26" s="41"/>
      <c r="C26" s="42"/>
      <c r="D26" s="43"/>
      <c r="E26" s="43"/>
      <c r="F26" s="50"/>
    </row>
    <row r="27" spans="1:6" ht="13.5" hidden="1" thickBot="1">
      <c r="A27" s="61"/>
      <c r="B27" s="41"/>
      <c r="C27" s="42"/>
      <c r="D27" s="43"/>
      <c r="E27" s="43"/>
      <c r="F27" s="50"/>
    </row>
    <row r="28" spans="1:6" ht="13.5" hidden="1" thickBot="1">
      <c r="A28" s="61"/>
      <c r="B28" s="41"/>
      <c r="C28" s="42"/>
      <c r="D28" s="43"/>
      <c r="E28" s="43"/>
      <c r="F28" s="50"/>
    </row>
    <row r="29" spans="1:6" ht="13.5" hidden="1" thickBot="1">
      <c r="A29" s="61"/>
      <c r="B29" s="41"/>
      <c r="C29" s="42"/>
      <c r="D29" s="43"/>
      <c r="E29" s="43"/>
      <c r="F29" s="50"/>
    </row>
    <row r="30" spans="1:6" ht="13.5" hidden="1" thickBot="1">
      <c r="A30" s="61"/>
      <c r="B30" s="41"/>
      <c r="C30" s="42"/>
      <c r="D30" s="43"/>
      <c r="E30" s="43"/>
      <c r="F30" s="50"/>
    </row>
    <row r="31" spans="1:7" ht="19.5" customHeight="1" thickBot="1">
      <c r="A31" s="63" t="s">
        <v>39</v>
      </c>
      <c r="B31" s="64">
        <f>SUM(C31:F31)</f>
        <v>74.300905</v>
      </c>
      <c r="C31" s="65">
        <f>C32+C40+C44+C41</f>
        <v>21.942682</v>
      </c>
      <c r="D31" s="65">
        <f>D32+D40+D44+D41</f>
        <v>1.239206</v>
      </c>
      <c r="E31" s="65">
        <f>E32+E40+E44+E41</f>
        <v>19.787363</v>
      </c>
      <c r="F31" s="66">
        <f>F32+F40+F44+F41</f>
        <v>31.331654000000004</v>
      </c>
      <c r="G31" s="168">
        <v>46.905</v>
      </c>
    </row>
    <row r="32" spans="1:7" ht="13.5">
      <c r="A32" s="55" t="s">
        <v>10</v>
      </c>
      <c r="B32" s="17">
        <f>SUM(C32:F32)</f>
        <v>22.261816000000003</v>
      </c>
      <c r="C32" s="18">
        <f>C33+C34+C35+C36+C37+C38+C39</f>
        <v>0.033843</v>
      </c>
      <c r="D32" s="18">
        <f>D33+D34+D35+D36+D37+D38+D39</f>
        <v>0.00137</v>
      </c>
      <c r="E32" s="18">
        <f>E33+E34+E35+E36+E37+E38+E39</f>
        <v>0.925414</v>
      </c>
      <c r="F32" s="19">
        <f>F33+F34+F35+F36+F37+F38+F39</f>
        <v>21.301189000000004</v>
      </c>
      <c r="G32" s="168">
        <f>G25-G31</f>
        <v>6.66899999999999</v>
      </c>
    </row>
    <row r="33" spans="1:6" ht="12.75">
      <c r="A33" s="56" t="s">
        <v>4</v>
      </c>
      <c r="B33" s="35">
        <f>SUM(C33:F33)</f>
        <v>5.898211</v>
      </c>
      <c r="C33" s="36">
        <v>0.011579</v>
      </c>
      <c r="D33" s="36"/>
      <c r="E33" s="67">
        <f>0.023328+0.209441</f>
        <v>0.232769</v>
      </c>
      <c r="F33" s="68">
        <f>0.009378+5.644485</f>
        <v>5.653863</v>
      </c>
    </row>
    <row r="34" spans="1:6" ht="12.75">
      <c r="A34" s="56" t="s">
        <v>11</v>
      </c>
      <c r="B34" s="35">
        <f>SUM(C34:F34)</f>
        <v>0.08381000000000001</v>
      </c>
      <c r="C34" s="36"/>
      <c r="D34" s="36"/>
      <c r="E34" s="36">
        <v>0.01628</v>
      </c>
      <c r="F34" s="48">
        <f>0.003641+0.063889</f>
        <v>0.06753</v>
      </c>
    </row>
    <row r="35" spans="1:6" ht="12.75">
      <c r="A35" s="56" t="s">
        <v>5</v>
      </c>
      <c r="B35" s="35">
        <f>SUM(C35:F35)</f>
        <v>15.970468</v>
      </c>
      <c r="C35" s="36">
        <f>0.000373+0.012498</f>
        <v>0.012871</v>
      </c>
      <c r="D35" s="36">
        <v>0.00137</v>
      </c>
      <c r="E35" s="36">
        <f>0.074034+0.391917</f>
        <v>0.465951</v>
      </c>
      <c r="F35" s="48">
        <f>0.022351+15.467925</f>
        <v>15.490276</v>
      </c>
    </row>
    <row r="36" spans="1:8" ht="12.75">
      <c r="A36" s="56" t="s">
        <v>23</v>
      </c>
      <c r="B36" s="35">
        <f>SUM(C36:F36)</f>
        <v>0.002772</v>
      </c>
      <c r="C36" s="36"/>
      <c r="D36" s="36"/>
      <c r="E36" s="36">
        <v>0.002772</v>
      </c>
      <c r="F36" s="48"/>
      <c r="H36" s="170"/>
    </row>
    <row r="37" spans="1:6" ht="12.75">
      <c r="A37" s="56" t="s">
        <v>24</v>
      </c>
      <c r="B37" s="35">
        <f>SUM(C37:F37)</f>
        <v>0.283459</v>
      </c>
      <c r="C37" s="36"/>
      <c r="D37" s="36"/>
      <c r="E37" s="36">
        <v>0.201853</v>
      </c>
      <c r="F37" s="48">
        <v>0.081606</v>
      </c>
    </row>
    <row r="38" spans="1:6" ht="12.75">
      <c r="A38" s="56" t="s">
        <v>25</v>
      </c>
      <c r="B38" s="35">
        <f>SUM(C38:F38)</f>
        <v>0.007764</v>
      </c>
      <c r="C38" s="36"/>
      <c r="D38" s="36"/>
      <c r="E38" s="36"/>
      <c r="F38" s="48">
        <v>0.007764</v>
      </c>
    </row>
    <row r="39" spans="1:6" ht="12.75">
      <c r="A39" s="56" t="s">
        <v>26</v>
      </c>
      <c r="B39" s="35">
        <f>SUM(C39:F39)</f>
        <v>0.015332000000000002</v>
      </c>
      <c r="C39" s="36">
        <v>0.009393</v>
      </c>
      <c r="D39" s="36"/>
      <c r="E39" s="36">
        <v>0.005789</v>
      </c>
      <c r="F39" s="48">
        <v>0.00015</v>
      </c>
    </row>
    <row r="40" spans="1:6" ht="13.5">
      <c r="A40" s="55" t="s">
        <v>0</v>
      </c>
      <c r="B40" s="37">
        <f aca="true" t="shared" si="2" ref="B40:B51">SUM(C40:F40)</f>
        <v>31.437185</v>
      </c>
      <c r="C40" s="69">
        <f>1.287483+8.645319</f>
        <v>9.932802</v>
      </c>
      <c r="D40" s="70">
        <f>0.156939+0.980277</f>
        <v>1.137216</v>
      </c>
      <c r="E40" s="71">
        <f>10.183148+1.166608</f>
        <v>11.349756</v>
      </c>
      <c r="F40" s="27">
        <f>0.516885+8.500526</f>
        <v>9.017411000000001</v>
      </c>
    </row>
    <row r="41" spans="1:6" ht="13.5">
      <c r="A41" s="55" t="s">
        <v>12</v>
      </c>
      <c r="B41" s="37">
        <f t="shared" si="2"/>
        <v>19.5469</v>
      </c>
      <c r="C41" s="38">
        <f>C42</f>
        <v>10.921033000000001</v>
      </c>
      <c r="D41" s="38">
        <f>D42</f>
        <v>0.10062</v>
      </c>
      <c r="E41" s="38">
        <f>E42</f>
        <v>7.512193</v>
      </c>
      <c r="F41" s="53">
        <f>F42</f>
        <v>1.013054</v>
      </c>
    </row>
    <row r="42" spans="1:7" ht="12.75">
      <c r="A42" s="56" t="s">
        <v>13</v>
      </c>
      <c r="B42" s="35">
        <f t="shared" si="2"/>
        <v>19.5469</v>
      </c>
      <c r="C42" s="36">
        <f>10.132224+0.788809</f>
        <v>10.921033000000001</v>
      </c>
      <c r="D42" s="40">
        <f>0.10062</f>
        <v>0.10062</v>
      </c>
      <c r="E42" s="40">
        <f>7.512193</f>
        <v>7.512193</v>
      </c>
      <c r="F42" s="29">
        <v>1.013054</v>
      </c>
      <c r="G42" s="5">
        <f>B42+B44</f>
        <v>20.601904</v>
      </c>
    </row>
    <row r="43" spans="1:7" ht="12.75">
      <c r="A43" s="57" t="s">
        <v>14</v>
      </c>
      <c r="B43" s="58">
        <f t="shared" si="2"/>
        <v>28.889</v>
      </c>
      <c r="C43" s="52">
        <f>13.18+1.252</f>
        <v>14.432</v>
      </c>
      <c r="D43" s="30">
        <v>0.156</v>
      </c>
      <c r="E43" s="30">
        <f>1.21+11.322</f>
        <v>12.532</v>
      </c>
      <c r="F43" s="31">
        <f>0.48+1.289</f>
        <v>1.769</v>
      </c>
      <c r="G43" s="168">
        <f>B43+B46</f>
        <v>31.391</v>
      </c>
    </row>
    <row r="44" spans="1:6" ht="13.5">
      <c r="A44" s="55" t="s">
        <v>15</v>
      </c>
      <c r="B44" s="37">
        <f t="shared" si="2"/>
        <v>1.055004</v>
      </c>
      <c r="C44" s="38">
        <f>C45</f>
        <v>1.055004</v>
      </c>
      <c r="D44" s="39"/>
      <c r="E44" s="39"/>
      <c r="F44" s="49"/>
    </row>
    <row r="45" spans="1:6" ht="12.75">
      <c r="A45" s="56" t="s">
        <v>13</v>
      </c>
      <c r="B45" s="35">
        <f t="shared" si="2"/>
        <v>1.055004</v>
      </c>
      <c r="C45" s="36">
        <v>1.055004</v>
      </c>
      <c r="D45" s="40"/>
      <c r="E45" s="40"/>
      <c r="F45" s="47"/>
    </row>
    <row r="46" spans="1:6" ht="13.5" thickBot="1">
      <c r="A46" s="60" t="s">
        <v>14</v>
      </c>
      <c r="B46" s="41">
        <f t="shared" si="2"/>
        <v>2.502</v>
      </c>
      <c r="C46" s="42">
        <v>2.502</v>
      </c>
      <c r="D46" s="43"/>
      <c r="E46" s="43"/>
      <c r="F46" s="50"/>
    </row>
    <row r="47" spans="1:6" ht="13.5" thickBot="1">
      <c r="A47" s="72" t="s">
        <v>42</v>
      </c>
      <c r="B47" s="44">
        <f t="shared" si="2"/>
        <v>2.660332</v>
      </c>
      <c r="C47" s="45">
        <f>C48+C56+C57</f>
        <v>2.660332</v>
      </c>
      <c r="D47" s="45">
        <f>D48+D56+D57</f>
        <v>0</v>
      </c>
      <c r="E47" s="45">
        <f>E48+E56+E57</f>
        <v>0</v>
      </c>
      <c r="F47" s="46">
        <f>F48+F56+F57</f>
        <v>0</v>
      </c>
    </row>
    <row r="48" spans="1:6" ht="13.5">
      <c r="A48" s="55" t="s">
        <v>10</v>
      </c>
      <c r="B48" s="17">
        <f t="shared" si="2"/>
        <v>0</v>
      </c>
      <c r="C48" s="18">
        <f>C49+C50+C51+C52+C53+C54+C55</f>
        <v>0</v>
      </c>
      <c r="D48" s="18">
        <f>D49+D50+D51+D52+D53+D54+D55</f>
        <v>0</v>
      </c>
      <c r="E48" s="18">
        <f>E49+E50+E51+E52+E53+E54+E55</f>
        <v>0</v>
      </c>
      <c r="F48" s="19">
        <f>F49+F50+F51+F52+F53+F54+F55</f>
        <v>0</v>
      </c>
    </row>
    <row r="49" spans="1:6" ht="12.75">
      <c r="A49" s="56" t="s">
        <v>4</v>
      </c>
      <c r="B49" s="35">
        <f t="shared" si="2"/>
        <v>0</v>
      </c>
      <c r="C49" s="36"/>
      <c r="D49" s="40"/>
      <c r="E49" s="40"/>
      <c r="F49" s="47"/>
    </row>
    <row r="50" spans="1:6" ht="12.75">
      <c r="A50" s="56" t="s">
        <v>17</v>
      </c>
      <c r="B50" s="35">
        <f t="shared" si="2"/>
        <v>0</v>
      </c>
      <c r="C50" s="36"/>
      <c r="D50" s="40"/>
      <c r="E50" s="40"/>
      <c r="F50" s="47"/>
    </row>
    <row r="51" spans="1:6" ht="12.75">
      <c r="A51" s="56" t="s">
        <v>5</v>
      </c>
      <c r="B51" s="35">
        <f t="shared" si="2"/>
        <v>0</v>
      </c>
      <c r="C51" s="36"/>
      <c r="D51" s="40"/>
      <c r="E51" s="40"/>
      <c r="F51" s="47"/>
    </row>
    <row r="52" spans="1:6" ht="12.75">
      <c r="A52" s="56" t="s">
        <v>23</v>
      </c>
      <c r="B52" s="35">
        <f>SUM(C52:F52)</f>
        <v>0</v>
      </c>
      <c r="C52" s="36"/>
      <c r="D52" s="36"/>
      <c r="E52" s="36"/>
      <c r="F52" s="48"/>
    </row>
    <row r="53" spans="1:6" ht="12.75">
      <c r="A53" s="56" t="s">
        <v>24</v>
      </c>
      <c r="B53" s="35">
        <f>SUM(C53:F53)</f>
        <v>0</v>
      </c>
      <c r="C53" s="36"/>
      <c r="D53" s="36"/>
      <c r="E53" s="36"/>
      <c r="F53" s="48"/>
    </row>
    <row r="54" spans="1:6" ht="12.75">
      <c r="A54" s="56" t="s">
        <v>25</v>
      </c>
      <c r="B54" s="35">
        <f>SUM(C54:F54)</f>
        <v>0</v>
      </c>
      <c r="C54" s="36"/>
      <c r="D54" s="36"/>
      <c r="E54" s="36"/>
      <c r="F54" s="48"/>
    </row>
    <row r="55" spans="1:6" ht="12.75">
      <c r="A55" s="56" t="s">
        <v>26</v>
      </c>
      <c r="B55" s="35">
        <f>SUM(C55:F55)</f>
        <v>0</v>
      </c>
      <c r="C55" s="36"/>
      <c r="D55" s="36"/>
      <c r="E55" s="36"/>
      <c r="F55" s="48"/>
    </row>
    <row r="56" spans="1:6" ht="13.5">
      <c r="A56" s="55" t="s">
        <v>0</v>
      </c>
      <c r="B56" s="37">
        <f aca="true" t="shared" si="3" ref="B56:B64">SUM(C56:F56)</f>
        <v>0</v>
      </c>
      <c r="C56" s="38"/>
      <c r="D56" s="39"/>
      <c r="E56" s="26"/>
      <c r="F56" s="27"/>
    </row>
    <row r="57" spans="1:6" ht="13.5">
      <c r="A57" s="55" t="s">
        <v>12</v>
      </c>
      <c r="B57" s="37">
        <f t="shared" si="3"/>
        <v>2.660332</v>
      </c>
      <c r="C57" s="38">
        <f>C58</f>
        <v>2.660332</v>
      </c>
      <c r="D57" s="39">
        <f>D58</f>
        <v>0</v>
      </c>
      <c r="E57" s="39">
        <f>E58</f>
        <v>0</v>
      </c>
      <c r="F57" s="49">
        <f>F58</f>
        <v>0</v>
      </c>
    </row>
    <row r="58" spans="1:6" ht="12.75">
      <c r="A58" s="56" t="s">
        <v>13</v>
      </c>
      <c r="B58" s="35">
        <f t="shared" si="3"/>
        <v>2.660332</v>
      </c>
      <c r="C58" s="36">
        <v>2.660332</v>
      </c>
      <c r="D58" s="40"/>
      <c r="E58" s="40"/>
      <c r="F58" s="47"/>
    </row>
    <row r="59" spans="1:6" ht="13.5" thickBot="1">
      <c r="A59" s="73" t="s">
        <v>14</v>
      </c>
      <c r="B59" s="74">
        <f t="shared" si="3"/>
        <v>6.669</v>
      </c>
      <c r="C59" s="75">
        <v>6.669</v>
      </c>
      <c r="D59" s="76"/>
      <c r="E59" s="76"/>
      <c r="F59" s="77"/>
    </row>
    <row r="60" spans="1:6" ht="13.5" thickBot="1">
      <c r="A60" s="72" t="s">
        <v>27</v>
      </c>
      <c r="B60" s="44">
        <f t="shared" si="3"/>
        <v>13.869041999999999</v>
      </c>
      <c r="C60" s="45">
        <f>C61+C69+C70</f>
        <v>7.7139299999999995</v>
      </c>
      <c r="D60" s="45">
        <f>D61+D69+D70</f>
        <v>0.02336</v>
      </c>
      <c r="E60" s="45">
        <f>E61+E69+E70</f>
        <v>2.36751</v>
      </c>
      <c r="F60" s="46">
        <f>F61+F69+F70</f>
        <v>3.764242</v>
      </c>
    </row>
    <row r="61" spans="1:6" ht="13.5">
      <c r="A61" s="78" t="s">
        <v>10</v>
      </c>
      <c r="B61" s="17">
        <f t="shared" si="3"/>
        <v>2.936474</v>
      </c>
      <c r="C61" s="18">
        <f>C62+C63+C64+C65+C66+C67+C68</f>
        <v>0</v>
      </c>
      <c r="D61" s="18">
        <f>D62+D63+D64+D65+D66+D67+D68</f>
        <v>0</v>
      </c>
      <c r="E61" s="18">
        <f>E62+E63+E64+E65+E66+E67+E68</f>
        <v>0.18425999999999998</v>
      </c>
      <c r="F61" s="19">
        <f>F62+F63+F64+F65+F66+F67+F68</f>
        <v>2.752214</v>
      </c>
    </row>
    <row r="62" spans="1:6" ht="12.75">
      <c r="A62" s="79" t="s">
        <v>4</v>
      </c>
      <c r="B62" s="35">
        <f t="shared" si="3"/>
        <v>2.717124</v>
      </c>
      <c r="C62" s="36"/>
      <c r="D62" s="36"/>
      <c r="E62" s="36">
        <v>0.171923</v>
      </c>
      <c r="F62" s="48">
        <v>2.545201</v>
      </c>
    </row>
    <row r="63" spans="1:6" ht="12.75">
      <c r="A63" s="79" t="s">
        <v>17</v>
      </c>
      <c r="B63" s="35">
        <f t="shared" si="3"/>
        <v>0.139475</v>
      </c>
      <c r="C63" s="36"/>
      <c r="D63" s="40"/>
      <c r="E63" s="40"/>
      <c r="F63" s="47">
        <v>0.139475</v>
      </c>
    </row>
    <row r="64" spans="1:6" ht="12.75">
      <c r="A64" s="79" t="s">
        <v>5</v>
      </c>
      <c r="B64" s="35">
        <f t="shared" si="3"/>
        <v>0.079875</v>
      </c>
      <c r="C64" s="36"/>
      <c r="D64" s="40"/>
      <c r="E64" s="40">
        <v>0.012337</v>
      </c>
      <c r="F64" s="47">
        <v>0.067538</v>
      </c>
    </row>
    <row r="65" spans="1:6" ht="12.75">
      <c r="A65" s="79" t="s">
        <v>23</v>
      </c>
      <c r="B65" s="35">
        <f>SUM(C65:F65)</f>
        <v>0</v>
      </c>
      <c r="C65" s="36"/>
      <c r="D65" s="36"/>
      <c r="E65" s="36"/>
      <c r="F65" s="48"/>
    </row>
    <row r="66" spans="1:6" ht="12.75">
      <c r="A66" s="79" t="s">
        <v>24</v>
      </c>
      <c r="B66" s="35">
        <f>SUM(C66:F66)</f>
        <v>0</v>
      </c>
      <c r="C66" s="36"/>
      <c r="D66" s="36"/>
      <c r="E66" s="36"/>
      <c r="F66" s="48"/>
    </row>
    <row r="67" spans="1:6" ht="12.75">
      <c r="A67" s="79" t="s">
        <v>25</v>
      </c>
      <c r="B67" s="35">
        <f>SUM(C67:F67)</f>
        <v>0</v>
      </c>
      <c r="C67" s="36"/>
      <c r="D67" s="36"/>
      <c r="E67" s="36"/>
      <c r="F67" s="48"/>
    </row>
    <row r="68" spans="1:6" ht="12.75">
      <c r="A68" s="79" t="s">
        <v>26</v>
      </c>
      <c r="B68" s="35">
        <f>SUM(C68:F68)</f>
        <v>0</v>
      </c>
      <c r="C68" s="36"/>
      <c r="D68" s="36"/>
      <c r="E68" s="36"/>
      <c r="F68" s="48"/>
    </row>
    <row r="69" spans="1:6" ht="13.5">
      <c r="A69" s="78" t="s">
        <v>0</v>
      </c>
      <c r="B69" s="37">
        <f aca="true" t="shared" si="4" ref="B69:B74">SUM(C69:F69)</f>
        <v>6.941533000000001</v>
      </c>
      <c r="C69" s="38">
        <v>4.029313</v>
      </c>
      <c r="D69" s="39">
        <v>0.02336</v>
      </c>
      <c r="E69" s="26">
        <v>1.912978</v>
      </c>
      <c r="F69" s="27">
        <v>0.975882</v>
      </c>
    </row>
    <row r="70" spans="1:6" ht="13.5">
      <c r="A70" s="78" t="s">
        <v>34</v>
      </c>
      <c r="B70" s="37">
        <f t="shared" si="4"/>
        <v>3.9910349999999997</v>
      </c>
      <c r="C70" s="38">
        <f>C71</f>
        <v>3.684617</v>
      </c>
      <c r="D70" s="39">
        <f>D71</f>
        <v>0</v>
      </c>
      <c r="E70" s="39">
        <f>E71</f>
        <v>0.270272</v>
      </c>
      <c r="F70" s="49">
        <f>F71</f>
        <v>0.036146</v>
      </c>
    </row>
    <row r="71" spans="1:6" ht="13.5">
      <c r="A71" s="79" t="s">
        <v>13</v>
      </c>
      <c r="B71" s="35">
        <f t="shared" si="4"/>
        <v>3.9910349999999997</v>
      </c>
      <c r="C71" s="38">
        <v>3.684617</v>
      </c>
      <c r="D71" s="39"/>
      <c r="E71" s="26">
        <v>0.270272</v>
      </c>
      <c r="F71" s="27">
        <v>0.036146</v>
      </c>
    </row>
    <row r="72" spans="1:6" ht="12" customHeight="1" thickBot="1">
      <c r="A72" s="80" t="s">
        <v>14</v>
      </c>
      <c r="B72" s="41">
        <f t="shared" si="4"/>
        <v>4.945</v>
      </c>
      <c r="C72" s="42">
        <v>4.415</v>
      </c>
      <c r="D72" s="43"/>
      <c r="E72" s="43">
        <v>0.466</v>
      </c>
      <c r="F72" s="50">
        <v>0.064</v>
      </c>
    </row>
    <row r="73" spans="1:6" ht="7.5" customHeight="1" hidden="1" thickBot="1">
      <c r="A73" s="72" t="s">
        <v>33</v>
      </c>
      <c r="B73" s="44">
        <f t="shared" si="4"/>
        <v>0</v>
      </c>
      <c r="C73" s="45">
        <f>C74+C82+C83</f>
        <v>0</v>
      </c>
      <c r="D73" s="45">
        <f>D74+D82+D83</f>
        <v>0</v>
      </c>
      <c r="E73" s="45">
        <f>E74+E82+E83</f>
        <v>0</v>
      </c>
      <c r="F73" s="46">
        <f>F74+F82+F83</f>
        <v>0</v>
      </c>
    </row>
    <row r="74" spans="1:6" ht="14.25" hidden="1" thickBot="1">
      <c r="A74" s="78" t="s">
        <v>10</v>
      </c>
      <c r="B74" s="17">
        <f t="shared" si="4"/>
        <v>0</v>
      </c>
      <c r="C74" s="18">
        <f>C75+C76+C77+C78+C79+C80+C81</f>
        <v>0</v>
      </c>
      <c r="D74" s="18">
        <f>D75+D76+D77+D78+D79+D80+D81</f>
        <v>0</v>
      </c>
      <c r="E74" s="18">
        <f>E75+E76+E77+E78+E79+E80+E81</f>
        <v>0</v>
      </c>
      <c r="F74" s="19">
        <f>F75+F76+F77+F78+F79+F80+F81</f>
        <v>0</v>
      </c>
    </row>
    <row r="75" spans="1:6" ht="13.5" hidden="1" thickBot="1">
      <c r="A75" s="79" t="s">
        <v>4</v>
      </c>
      <c r="B75" s="35">
        <f aca="true" t="shared" si="5" ref="B75:B86">SUM(C75:F75)</f>
        <v>0</v>
      </c>
      <c r="C75" s="36"/>
      <c r="D75" s="40"/>
      <c r="E75" s="40"/>
      <c r="F75" s="47"/>
    </row>
    <row r="76" spans="1:6" ht="13.5" hidden="1" thickBot="1">
      <c r="A76" s="79" t="s">
        <v>17</v>
      </c>
      <c r="B76" s="35">
        <f t="shared" si="5"/>
        <v>0</v>
      </c>
      <c r="C76" s="36"/>
      <c r="D76" s="40"/>
      <c r="E76" s="40"/>
      <c r="F76" s="47"/>
    </row>
    <row r="77" spans="1:6" ht="13.5" hidden="1" thickBot="1">
      <c r="A77" s="79" t="s">
        <v>5</v>
      </c>
      <c r="B77" s="35">
        <f t="shared" si="5"/>
        <v>0</v>
      </c>
      <c r="C77" s="36"/>
      <c r="D77" s="40"/>
      <c r="E77" s="40"/>
      <c r="F77" s="47"/>
    </row>
    <row r="78" spans="1:6" ht="13.5" hidden="1" thickBot="1">
      <c r="A78" s="79" t="s">
        <v>23</v>
      </c>
      <c r="B78" s="35">
        <f t="shared" si="5"/>
        <v>0</v>
      </c>
      <c r="C78" s="36"/>
      <c r="D78" s="36"/>
      <c r="E78" s="36"/>
      <c r="F78" s="48"/>
    </row>
    <row r="79" spans="1:6" ht="13.5" hidden="1" thickBot="1">
      <c r="A79" s="79" t="s">
        <v>24</v>
      </c>
      <c r="B79" s="35">
        <f t="shared" si="5"/>
        <v>0</v>
      </c>
      <c r="C79" s="36"/>
      <c r="D79" s="36"/>
      <c r="E79" s="36"/>
      <c r="F79" s="48"/>
    </row>
    <row r="80" spans="1:6" ht="13.5" hidden="1" thickBot="1">
      <c r="A80" s="79" t="s">
        <v>25</v>
      </c>
      <c r="B80" s="35">
        <f t="shared" si="5"/>
        <v>0</v>
      </c>
      <c r="C80" s="36"/>
      <c r="D80" s="36"/>
      <c r="E80" s="36"/>
      <c r="F80" s="48"/>
    </row>
    <row r="81" spans="1:6" ht="13.5" hidden="1" thickBot="1">
      <c r="A81" s="79" t="s">
        <v>26</v>
      </c>
      <c r="B81" s="35">
        <f t="shared" si="5"/>
        <v>0</v>
      </c>
      <c r="C81" s="36"/>
      <c r="D81" s="36"/>
      <c r="E81" s="36"/>
      <c r="F81" s="48"/>
    </row>
    <row r="82" spans="1:6" ht="14.25" hidden="1" thickBot="1">
      <c r="A82" s="78" t="s">
        <v>0</v>
      </c>
      <c r="B82" s="37">
        <f t="shared" si="5"/>
        <v>0</v>
      </c>
      <c r="C82" s="38"/>
      <c r="D82" s="39"/>
      <c r="E82" s="26"/>
      <c r="F82" s="27"/>
    </row>
    <row r="83" spans="1:6" ht="14.25" hidden="1" thickBot="1">
      <c r="A83" s="78" t="s">
        <v>12</v>
      </c>
      <c r="B83" s="37">
        <f t="shared" si="5"/>
        <v>0</v>
      </c>
      <c r="C83" s="38">
        <f>C84</f>
        <v>0</v>
      </c>
      <c r="D83" s="39">
        <f>D84</f>
        <v>0</v>
      </c>
      <c r="E83" s="39">
        <f>E84</f>
        <v>0</v>
      </c>
      <c r="F83" s="49">
        <f>F84</f>
        <v>0</v>
      </c>
    </row>
    <row r="84" spans="1:6" ht="13.5" hidden="1" thickBot="1">
      <c r="A84" s="79" t="s">
        <v>13</v>
      </c>
      <c r="B84" s="35">
        <f t="shared" si="5"/>
        <v>0</v>
      </c>
      <c r="C84" s="36"/>
      <c r="D84" s="40"/>
      <c r="E84" s="40"/>
      <c r="F84" s="47"/>
    </row>
    <row r="85" spans="1:6" ht="13.5" hidden="1" thickBot="1">
      <c r="A85" s="80" t="s">
        <v>14</v>
      </c>
      <c r="B85" s="41">
        <f t="shared" si="5"/>
        <v>0</v>
      </c>
      <c r="C85" s="42"/>
      <c r="D85" s="43"/>
      <c r="E85" s="43"/>
      <c r="F85" s="50"/>
    </row>
    <row r="86" spans="1:6" ht="13.5" customHeight="1" thickBot="1">
      <c r="A86" s="72" t="s">
        <v>35</v>
      </c>
      <c r="B86" s="44">
        <f t="shared" si="5"/>
        <v>2.510253</v>
      </c>
      <c r="C86" s="45">
        <f>C87+C95+C96</f>
        <v>2.475966</v>
      </c>
      <c r="D86" s="45">
        <f>D87+D95+D96</f>
        <v>0</v>
      </c>
      <c r="E86" s="45">
        <f>E87+E95+E96</f>
        <v>0</v>
      </c>
      <c r="F86" s="46">
        <f>F87+F95+F96</f>
        <v>0.034287</v>
      </c>
    </row>
    <row r="87" spans="1:6" ht="13.5">
      <c r="A87" s="78" t="s">
        <v>10</v>
      </c>
      <c r="B87" s="17">
        <f>SUM(C87:F87)</f>
        <v>0</v>
      </c>
      <c r="C87" s="18">
        <f>C88+C89+C90+C91+C92+C93+C94</f>
        <v>0</v>
      </c>
      <c r="D87" s="18">
        <f>D88+D89+D90+D91+D92+D93+D94</f>
        <v>0</v>
      </c>
      <c r="E87" s="18">
        <f>E88+E89+E90+E91+E92+E93+E94</f>
        <v>0</v>
      </c>
      <c r="F87" s="19">
        <f>F88+F89+F90+F91+F92+F93+F94</f>
        <v>0</v>
      </c>
    </row>
    <row r="88" spans="1:6" ht="12.75">
      <c r="A88" s="79" t="s">
        <v>4</v>
      </c>
      <c r="B88" s="35">
        <f aca="true" t="shared" si="6" ref="B88:B99">SUM(C88:F88)</f>
        <v>0</v>
      </c>
      <c r="C88" s="36"/>
      <c r="D88" s="40"/>
      <c r="E88" s="40"/>
      <c r="F88" s="47"/>
    </row>
    <row r="89" spans="1:6" ht="12.75">
      <c r="A89" s="79" t="s">
        <v>17</v>
      </c>
      <c r="B89" s="35">
        <f t="shared" si="6"/>
        <v>0</v>
      </c>
      <c r="C89" s="36"/>
      <c r="D89" s="40"/>
      <c r="E89" s="40"/>
      <c r="F89" s="47"/>
    </row>
    <row r="90" spans="1:6" ht="12.75">
      <c r="A90" s="79" t="s">
        <v>5</v>
      </c>
      <c r="B90" s="35">
        <f t="shared" si="6"/>
        <v>0</v>
      </c>
      <c r="C90" s="36"/>
      <c r="D90" s="40"/>
      <c r="E90" s="40"/>
      <c r="F90" s="47"/>
    </row>
    <row r="91" spans="1:6" ht="12.75">
      <c r="A91" s="79" t="s">
        <v>23</v>
      </c>
      <c r="B91" s="35">
        <f t="shared" si="6"/>
        <v>0</v>
      </c>
      <c r="C91" s="36"/>
      <c r="D91" s="36"/>
      <c r="E91" s="36"/>
      <c r="F91" s="48"/>
    </row>
    <row r="92" spans="1:6" ht="12.75">
      <c r="A92" s="79" t="s">
        <v>24</v>
      </c>
      <c r="B92" s="35">
        <f t="shared" si="6"/>
        <v>0</v>
      </c>
      <c r="C92" s="36"/>
      <c r="D92" s="36"/>
      <c r="E92" s="36"/>
      <c r="F92" s="48"/>
    </row>
    <row r="93" spans="1:6" ht="12.75">
      <c r="A93" s="79" t="s">
        <v>25</v>
      </c>
      <c r="B93" s="35">
        <f t="shared" si="6"/>
        <v>0</v>
      </c>
      <c r="C93" s="36"/>
      <c r="D93" s="36"/>
      <c r="E93" s="36"/>
      <c r="F93" s="48"/>
    </row>
    <row r="94" spans="1:6" ht="12.75">
      <c r="A94" s="79" t="s">
        <v>26</v>
      </c>
      <c r="B94" s="35">
        <f t="shared" si="6"/>
        <v>0</v>
      </c>
      <c r="C94" s="36"/>
      <c r="D94" s="36"/>
      <c r="E94" s="36"/>
      <c r="F94" s="48"/>
    </row>
    <row r="95" spans="1:6" ht="13.5">
      <c r="A95" s="78" t="s">
        <v>0</v>
      </c>
      <c r="B95" s="37">
        <f t="shared" si="6"/>
        <v>0.967586</v>
      </c>
      <c r="C95" s="38">
        <v>0.933299</v>
      </c>
      <c r="D95" s="39"/>
      <c r="E95" s="26"/>
      <c r="F95" s="27">
        <v>0.034287</v>
      </c>
    </row>
    <row r="96" spans="1:6" ht="13.5">
      <c r="A96" s="78" t="s">
        <v>12</v>
      </c>
      <c r="B96" s="37">
        <f t="shared" si="6"/>
        <v>1.542667</v>
      </c>
      <c r="C96" s="38">
        <f>C97</f>
        <v>1.542667</v>
      </c>
      <c r="D96" s="39">
        <f>D97</f>
        <v>0</v>
      </c>
      <c r="E96" s="39">
        <f>E97</f>
        <v>0</v>
      </c>
      <c r="F96" s="49">
        <f>F97</f>
        <v>0</v>
      </c>
    </row>
    <row r="97" spans="1:6" ht="12.75">
      <c r="A97" s="79" t="s">
        <v>13</v>
      </c>
      <c r="B97" s="35">
        <f t="shared" si="6"/>
        <v>1.542667</v>
      </c>
      <c r="C97" s="36">
        <v>1.542667</v>
      </c>
      <c r="D97" s="40"/>
      <c r="E97" s="40"/>
      <c r="F97" s="47"/>
    </row>
    <row r="98" spans="1:6" ht="13.5" thickBot="1">
      <c r="A98" s="80" t="s">
        <v>14</v>
      </c>
      <c r="B98" s="41">
        <f t="shared" si="6"/>
        <v>1.31</v>
      </c>
      <c r="C98" s="42">
        <v>1.31</v>
      </c>
      <c r="D98" s="43"/>
      <c r="E98" s="43"/>
      <c r="F98" s="50"/>
    </row>
    <row r="99" spans="1:6" ht="13.5" thickBot="1">
      <c r="A99" s="72" t="s">
        <v>18</v>
      </c>
      <c r="B99" s="44">
        <f t="shared" si="6"/>
        <v>6.189547</v>
      </c>
      <c r="C99" s="45">
        <f>C100+C108+C109</f>
        <v>0.6570480000000001</v>
      </c>
      <c r="D99" s="45">
        <f>D100+D108+D109</f>
        <v>0</v>
      </c>
      <c r="E99" s="45">
        <f>E100+E108+E109</f>
        <v>2.391605</v>
      </c>
      <c r="F99" s="46">
        <f>F100+F108+F109</f>
        <v>3.140894</v>
      </c>
    </row>
    <row r="100" spans="1:6" ht="13.5">
      <c r="A100" s="78" t="s">
        <v>10</v>
      </c>
      <c r="B100" s="17">
        <f>SUM(C100:F100)</f>
        <v>2.3649899999999997</v>
      </c>
      <c r="C100" s="18">
        <f>C101+C102+C103+C104+C105+C106+C107</f>
        <v>0.076324</v>
      </c>
      <c r="D100" s="18">
        <f>D101+D102+D103+D104+D105+D106+D107</f>
        <v>0</v>
      </c>
      <c r="E100" s="18">
        <f>E101+E102+E103+E104+E105+E106+E107</f>
        <v>0.1836</v>
      </c>
      <c r="F100" s="19">
        <f>F101+F102+F103+F104+F105+F106+F107</f>
        <v>2.105066</v>
      </c>
    </row>
    <row r="101" spans="1:6" ht="12.75">
      <c r="A101" s="79" t="s">
        <v>4</v>
      </c>
      <c r="B101" s="35">
        <f>SUM(C101:F101)</f>
        <v>1.501424</v>
      </c>
      <c r="C101" s="36"/>
      <c r="D101" s="40"/>
      <c r="E101" s="40">
        <v>0.033935</v>
      </c>
      <c r="F101" s="47">
        <v>1.467489</v>
      </c>
    </row>
    <row r="102" spans="1:6" ht="12.75">
      <c r="A102" s="79" t="s">
        <v>17</v>
      </c>
      <c r="B102" s="35">
        <f>SUM(C102:F102)</f>
        <v>0</v>
      </c>
      <c r="C102" s="36"/>
      <c r="D102" s="40"/>
      <c r="E102" s="40"/>
      <c r="F102" s="47"/>
    </row>
    <row r="103" spans="1:6" ht="12.75">
      <c r="A103" s="79" t="s">
        <v>5</v>
      </c>
      <c r="B103" s="35">
        <f>SUM(C103:F103)</f>
        <v>0.6250439999999999</v>
      </c>
      <c r="C103" s="36"/>
      <c r="D103" s="40"/>
      <c r="E103" s="40">
        <v>0.004567</v>
      </c>
      <c r="F103" s="47">
        <v>0.620477</v>
      </c>
    </row>
    <row r="104" spans="1:6" ht="12.75">
      <c r="A104" s="79" t="s">
        <v>23</v>
      </c>
      <c r="B104" s="35">
        <f>SUM(C104:F104)</f>
        <v>0</v>
      </c>
      <c r="C104" s="36"/>
      <c r="D104" s="36"/>
      <c r="E104" s="36"/>
      <c r="F104" s="48"/>
    </row>
    <row r="105" spans="1:6" ht="12.75">
      <c r="A105" s="79" t="s">
        <v>24</v>
      </c>
      <c r="B105" s="35">
        <f>SUM(C105:F105)</f>
        <v>0.0171</v>
      </c>
      <c r="C105" s="36"/>
      <c r="D105" s="36"/>
      <c r="E105" s="36"/>
      <c r="F105" s="48">
        <v>0.0171</v>
      </c>
    </row>
    <row r="106" spans="1:6" ht="12.75">
      <c r="A106" s="79" t="s">
        <v>25</v>
      </c>
      <c r="B106" s="35">
        <f>SUM(C106:F106)</f>
        <v>0.221422</v>
      </c>
      <c r="C106" s="36">
        <f>0.076324</f>
        <v>0.076324</v>
      </c>
      <c r="D106" s="36"/>
      <c r="E106" s="36">
        <v>0.145098</v>
      </c>
      <c r="F106" s="48"/>
    </row>
    <row r="107" spans="1:6" ht="12.75">
      <c r="A107" s="79" t="s">
        <v>26</v>
      </c>
      <c r="B107" s="35">
        <f>SUM(C107:F107)</f>
        <v>0</v>
      </c>
      <c r="C107" s="36"/>
      <c r="D107" s="36"/>
      <c r="E107" s="36"/>
      <c r="F107" s="48"/>
    </row>
    <row r="108" spans="1:6" ht="13.5">
      <c r="A108" s="78" t="s">
        <v>0</v>
      </c>
      <c r="B108" s="37">
        <f>SUM(C108:F108)</f>
        <v>3.618175</v>
      </c>
      <c r="C108" s="38">
        <v>0.580724</v>
      </c>
      <c r="D108" s="39"/>
      <c r="E108" s="26">
        <v>2.100767</v>
      </c>
      <c r="F108" s="27">
        <v>0.936684</v>
      </c>
    </row>
    <row r="109" spans="1:6" ht="13.5">
      <c r="A109" s="78" t="s">
        <v>12</v>
      </c>
      <c r="B109" s="37">
        <f>SUM(C109:F109)</f>
        <v>0.206382</v>
      </c>
      <c r="C109" s="38">
        <f>C110</f>
        <v>0</v>
      </c>
      <c r="D109" s="39">
        <f>D110</f>
        <v>0</v>
      </c>
      <c r="E109" s="39">
        <f>E110</f>
        <v>0.107238</v>
      </c>
      <c r="F109" s="49">
        <f>F110</f>
        <v>0.099144</v>
      </c>
    </row>
    <row r="110" spans="1:6" ht="12.75">
      <c r="A110" s="79" t="s">
        <v>13</v>
      </c>
      <c r="B110" s="35">
        <f>SUM(C110:F110)</f>
        <v>0.206382</v>
      </c>
      <c r="C110" s="36"/>
      <c r="D110" s="40"/>
      <c r="E110" s="40">
        <v>0.107238</v>
      </c>
      <c r="F110" s="47">
        <v>0.099144</v>
      </c>
    </row>
    <row r="111" spans="1:6" ht="13.5" thickBot="1">
      <c r="A111" s="80" t="s">
        <v>14</v>
      </c>
      <c r="B111" s="41">
        <f>SUM(C111:F111)</f>
        <v>0.32499999999999996</v>
      </c>
      <c r="C111" s="42"/>
      <c r="D111" s="43"/>
      <c r="E111" s="43">
        <v>0.152</v>
      </c>
      <c r="F111" s="50">
        <v>0.173</v>
      </c>
    </row>
    <row r="112" spans="1:6" ht="13.5" thickBot="1">
      <c r="A112" s="72" t="s">
        <v>28</v>
      </c>
      <c r="B112" s="44">
        <f>SUM(C112:F112)</f>
        <v>2.594738</v>
      </c>
      <c r="C112" s="45">
        <f>C113+C121+C122</f>
        <v>1.3158189999999998</v>
      </c>
      <c r="D112" s="45">
        <f>D113+D121+D122</f>
        <v>0</v>
      </c>
      <c r="E112" s="45">
        <f>E113+E121+E122</f>
        <v>0.744767</v>
      </c>
      <c r="F112" s="46">
        <f>F113+F121+F122</f>
        <v>0.5341520000000001</v>
      </c>
    </row>
    <row r="113" spans="1:6" ht="13.5">
      <c r="A113" s="78" t="s">
        <v>10</v>
      </c>
      <c r="B113" s="17">
        <f>SUM(C113:F113)</f>
        <v>0.506776</v>
      </c>
      <c r="C113" s="18">
        <f>C114+C115+C116+C117+C118+C119+C120</f>
        <v>0.001593</v>
      </c>
      <c r="D113" s="18">
        <f>D114+D115+D116+D117+D118+D119+D120</f>
        <v>0</v>
      </c>
      <c r="E113" s="18">
        <f>E114+E115+E116+E117+E118+E119+E120</f>
        <v>0</v>
      </c>
      <c r="F113" s="19">
        <f>F114+F115+F116+F117+F118+F119+F120</f>
        <v>0.505183</v>
      </c>
    </row>
    <row r="114" spans="1:6" ht="12.75">
      <c r="A114" s="79" t="s">
        <v>4</v>
      </c>
      <c r="B114" s="35">
        <f>SUM(C114:F114)</f>
        <v>0.496554</v>
      </c>
      <c r="C114" s="36"/>
      <c r="D114" s="40"/>
      <c r="E114" s="40"/>
      <c r="F114" s="47">
        <v>0.496554</v>
      </c>
    </row>
    <row r="115" spans="1:6" ht="12.75">
      <c r="A115" s="79" t="s">
        <v>17</v>
      </c>
      <c r="B115" s="35">
        <f>SUM(C115:F115)</f>
        <v>0.008629</v>
      </c>
      <c r="C115" s="36"/>
      <c r="D115" s="40"/>
      <c r="E115" s="40"/>
      <c r="F115" s="47">
        <v>0.008629</v>
      </c>
    </row>
    <row r="116" spans="1:6" ht="12.75">
      <c r="A116" s="79" t="s">
        <v>5</v>
      </c>
      <c r="B116" s="35">
        <f>SUM(C116:F116)</f>
        <v>0</v>
      </c>
      <c r="C116" s="36"/>
      <c r="D116" s="40"/>
      <c r="E116" s="40"/>
      <c r="F116" s="47"/>
    </row>
    <row r="117" spans="1:6" ht="12.75">
      <c r="A117" s="79" t="s">
        <v>23</v>
      </c>
      <c r="B117" s="35">
        <f>SUM(C117:F117)</f>
        <v>0</v>
      </c>
      <c r="C117" s="36"/>
      <c r="D117" s="36"/>
      <c r="E117" s="36"/>
      <c r="F117" s="48"/>
    </row>
    <row r="118" spans="1:6" ht="12.75">
      <c r="A118" s="79" t="s">
        <v>24</v>
      </c>
      <c r="B118" s="35">
        <f>SUM(C118:F118)</f>
        <v>0</v>
      </c>
      <c r="C118" s="36"/>
      <c r="D118" s="36"/>
      <c r="E118" s="36"/>
      <c r="F118" s="48"/>
    </row>
    <row r="119" spans="1:6" ht="12.75">
      <c r="A119" s="79" t="s">
        <v>25</v>
      </c>
      <c r="B119" s="35">
        <f>SUM(C119:F119)</f>
        <v>0</v>
      </c>
      <c r="C119" s="36"/>
      <c r="D119" s="36"/>
      <c r="E119" s="36"/>
      <c r="F119" s="48"/>
    </row>
    <row r="120" spans="1:6" ht="12.75">
      <c r="A120" s="79" t="s">
        <v>26</v>
      </c>
      <c r="B120" s="35">
        <f>SUM(C120:F120)</f>
        <v>0.001593</v>
      </c>
      <c r="C120" s="36">
        <v>0.001593</v>
      </c>
      <c r="D120" s="36"/>
      <c r="E120" s="36"/>
      <c r="F120" s="48"/>
    </row>
    <row r="121" spans="1:6" ht="13.5">
      <c r="A121" s="78" t="s">
        <v>0</v>
      </c>
      <c r="B121" s="37">
        <f>SUM(C121:F121)</f>
        <v>2.048959</v>
      </c>
      <c r="C121" s="38">
        <v>1.314226</v>
      </c>
      <c r="D121" s="39"/>
      <c r="E121" s="26">
        <v>0.71695</v>
      </c>
      <c r="F121" s="27">
        <v>0.017783</v>
      </c>
    </row>
    <row r="122" spans="1:6" ht="13.5">
      <c r="A122" s="78" t="s">
        <v>12</v>
      </c>
      <c r="B122" s="37">
        <f>SUM(C122:F122)</f>
        <v>0.039003</v>
      </c>
      <c r="C122" s="38">
        <f>C123</f>
        <v>0</v>
      </c>
      <c r="D122" s="39">
        <f>D123</f>
        <v>0</v>
      </c>
      <c r="E122" s="39">
        <f>E123</f>
        <v>0.027817</v>
      </c>
      <c r="F122" s="49">
        <f>F123</f>
        <v>0.011186</v>
      </c>
    </row>
    <row r="123" spans="1:6" ht="12.75">
      <c r="A123" s="79" t="s">
        <v>13</v>
      </c>
      <c r="B123" s="35">
        <f>SUM(C123:F123)</f>
        <v>0.039003</v>
      </c>
      <c r="C123" s="36"/>
      <c r="D123" s="40"/>
      <c r="E123" s="40">
        <v>0.027817</v>
      </c>
      <c r="F123" s="47">
        <v>0.011186</v>
      </c>
    </row>
    <row r="124" spans="1:6" ht="13.5" thickBot="1">
      <c r="A124" s="80" t="s">
        <v>14</v>
      </c>
      <c r="B124" s="41">
        <f>SUM(C124:F124)</f>
        <v>0.108</v>
      </c>
      <c r="C124" s="42"/>
      <c r="D124" s="43"/>
      <c r="E124" s="43">
        <v>0.091</v>
      </c>
      <c r="F124" s="50">
        <v>0.017</v>
      </c>
    </row>
    <row r="125" spans="1:6" ht="13.5" thickBot="1">
      <c r="A125" s="72" t="s">
        <v>19</v>
      </c>
      <c r="B125" s="44">
        <f>SUM(C125:F125)</f>
        <v>4.392811</v>
      </c>
      <c r="C125" s="45">
        <f>C126+C134+C135</f>
        <v>2.5032270000000003</v>
      </c>
      <c r="D125" s="45">
        <f>D126+D134+D135</f>
        <v>0</v>
      </c>
      <c r="E125" s="45">
        <f>E126+E134+E135</f>
        <v>1.1492499999999999</v>
      </c>
      <c r="F125" s="46">
        <f>F126+F134+F135</f>
        <v>0.740334</v>
      </c>
    </row>
    <row r="126" spans="1:6" ht="13.5">
      <c r="A126" s="78" t="s">
        <v>10</v>
      </c>
      <c r="B126" s="17">
        <f>SUM(C126:F126)</f>
        <v>0.559498</v>
      </c>
      <c r="C126" s="18">
        <f>C127+C128+C129+C130+C131+C132+C133</f>
        <v>0</v>
      </c>
      <c r="D126" s="18">
        <f>D127+D128+D129+D130+D131+D132+D133</f>
        <v>0</v>
      </c>
      <c r="E126" s="18">
        <f>E127+E128+E129+E130+E131+E132+E133</f>
        <v>0.093784</v>
      </c>
      <c r="F126" s="19">
        <f>F127+F128+F129+F130+F131+F132+F133</f>
        <v>0.465714</v>
      </c>
    </row>
    <row r="127" spans="1:6" ht="12.75">
      <c r="A127" s="79" t="s">
        <v>4</v>
      </c>
      <c r="B127" s="35">
        <f>SUM(C127:F127)</f>
        <v>0.186924</v>
      </c>
      <c r="C127" s="36"/>
      <c r="D127" s="40"/>
      <c r="E127" s="40">
        <v>0.056288</v>
      </c>
      <c r="F127" s="47">
        <v>0.130636</v>
      </c>
    </row>
    <row r="128" spans="1:6" ht="12.75">
      <c r="A128" s="79" t="s">
        <v>17</v>
      </c>
      <c r="B128" s="35">
        <f aca="true" t="shared" si="7" ref="B128:B138">SUM(C128:F128)</f>
        <v>0.044569</v>
      </c>
      <c r="C128" s="36"/>
      <c r="D128" s="40"/>
      <c r="E128" s="40">
        <v>0.030829</v>
      </c>
      <c r="F128" s="47">
        <v>0.01374</v>
      </c>
    </row>
    <row r="129" spans="1:6" ht="12.75">
      <c r="A129" s="79" t="s">
        <v>5</v>
      </c>
      <c r="B129" s="35">
        <f t="shared" si="7"/>
        <v>0.32735000000000003</v>
      </c>
      <c r="C129" s="36"/>
      <c r="D129" s="40"/>
      <c r="E129" s="40">
        <v>0.006012</v>
      </c>
      <c r="F129" s="47">
        <v>0.321338</v>
      </c>
    </row>
    <row r="130" spans="1:6" ht="12.75">
      <c r="A130" s="79" t="s">
        <v>23</v>
      </c>
      <c r="B130" s="35">
        <f t="shared" si="7"/>
        <v>0</v>
      </c>
      <c r="C130" s="36"/>
      <c r="D130" s="36"/>
      <c r="E130" s="36"/>
      <c r="F130" s="48"/>
    </row>
    <row r="131" spans="1:6" ht="12.75">
      <c r="A131" s="79" t="s">
        <v>24</v>
      </c>
      <c r="B131" s="35">
        <f t="shared" si="7"/>
        <v>0.000171</v>
      </c>
      <c r="C131" s="36"/>
      <c r="D131" s="36"/>
      <c r="E131" s="36">
        <v>0.000171</v>
      </c>
      <c r="F131" s="48"/>
    </row>
    <row r="132" spans="1:6" ht="12.75">
      <c r="A132" s="79" t="s">
        <v>25</v>
      </c>
      <c r="B132" s="35">
        <f t="shared" si="7"/>
        <v>0</v>
      </c>
      <c r="C132" s="36"/>
      <c r="D132" s="36"/>
      <c r="E132" s="36"/>
      <c r="F132" s="48"/>
    </row>
    <row r="133" spans="1:6" ht="12.75">
      <c r="A133" s="79" t="s">
        <v>26</v>
      </c>
      <c r="B133" s="35">
        <f t="shared" si="7"/>
        <v>0.000484</v>
      </c>
      <c r="C133" s="36"/>
      <c r="D133" s="36"/>
      <c r="E133" s="36">
        <v>0.000484</v>
      </c>
      <c r="F133" s="48"/>
    </row>
    <row r="134" spans="1:6" ht="13.5">
      <c r="A134" s="78" t="s">
        <v>0</v>
      </c>
      <c r="B134" s="37">
        <f t="shared" si="7"/>
        <v>3.385673</v>
      </c>
      <c r="C134" s="38">
        <v>2.368431</v>
      </c>
      <c r="D134" s="39"/>
      <c r="E134" s="26">
        <v>0.812299</v>
      </c>
      <c r="F134" s="27">
        <v>0.204943</v>
      </c>
    </row>
    <row r="135" spans="1:6" ht="13.5">
      <c r="A135" s="78" t="s">
        <v>12</v>
      </c>
      <c r="B135" s="37">
        <f t="shared" si="7"/>
        <v>0.44764</v>
      </c>
      <c r="C135" s="38">
        <f>C136</f>
        <v>0.134796</v>
      </c>
      <c r="D135" s="39">
        <f>D136</f>
        <v>0</v>
      </c>
      <c r="E135" s="39">
        <f>E136</f>
        <v>0.243167</v>
      </c>
      <c r="F135" s="49">
        <f>F136</f>
        <v>0.069677</v>
      </c>
    </row>
    <row r="136" spans="1:6" ht="12.75">
      <c r="A136" s="79" t="s">
        <v>13</v>
      </c>
      <c r="B136" s="35">
        <f t="shared" si="7"/>
        <v>0.44764</v>
      </c>
      <c r="C136" s="36">
        <v>0.134796</v>
      </c>
      <c r="D136" s="40"/>
      <c r="E136" s="36">
        <v>0.243167</v>
      </c>
      <c r="F136" s="47">
        <v>0.069677</v>
      </c>
    </row>
    <row r="137" spans="1:6" ht="13.5" thickBot="1">
      <c r="A137" s="80" t="s">
        <v>14</v>
      </c>
      <c r="B137" s="41">
        <f t="shared" si="7"/>
        <v>0.7100000000000001</v>
      </c>
      <c r="C137" s="42">
        <v>0.203</v>
      </c>
      <c r="D137" s="43"/>
      <c r="E137" s="42">
        <v>0.399</v>
      </c>
      <c r="F137" s="50">
        <v>0.108</v>
      </c>
    </row>
    <row r="138" spans="1:6" ht="13.5" thickBot="1">
      <c r="A138" s="72" t="s">
        <v>20</v>
      </c>
      <c r="B138" s="44">
        <f t="shared" si="7"/>
        <v>0.881917</v>
      </c>
      <c r="C138" s="45">
        <f>C139+C147+C148</f>
        <v>0</v>
      </c>
      <c r="D138" s="45">
        <f>D139+D147+D148</f>
        <v>0</v>
      </c>
      <c r="E138" s="45">
        <f>E139+E147+E148</f>
        <v>0.429625</v>
      </c>
      <c r="F138" s="46">
        <f>F139+F147</f>
        <v>0.45229199999999997</v>
      </c>
    </row>
    <row r="139" spans="1:6" ht="13.5">
      <c r="A139" s="78" t="s">
        <v>10</v>
      </c>
      <c r="B139" s="17">
        <f>SUM(C139:F139)</f>
        <v>0.33879899999999996</v>
      </c>
      <c r="C139" s="18">
        <f>C140+C141+C142+C143+C144+C145+C146</f>
        <v>0</v>
      </c>
      <c r="D139" s="18">
        <f>D140+D141+D142+D143+D144+D145+D146</f>
        <v>0</v>
      </c>
      <c r="E139" s="18">
        <f>E140+E141+E142+E143+E144+E145+E146</f>
        <v>0.014644</v>
      </c>
      <c r="F139" s="19">
        <f>F140+F141+F142+F143+F144+F145+F146</f>
        <v>0.32415499999999997</v>
      </c>
    </row>
    <row r="140" spans="1:6" ht="12.75">
      <c r="A140" s="79" t="s">
        <v>4</v>
      </c>
      <c r="B140" s="35">
        <f aca="true" t="shared" si="8" ref="B140:B150">SUM(C140:F140)</f>
        <v>0.272798</v>
      </c>
      <c r="C140" s="36"/>
      <c r="D140" s="36"/>
      <c r="E140" s="36">
        <v>0.014644</v>
      </c>
      <c r="F140" s="48">
        <v>0.258154</v>
      </c>
    </row>
    <row r="141" spans="1:6" ht="12.75">
      <c r="A141" s="79" t="s">
        <v>17</v>
      </c>
      <c r="B141" s="35">
        <f t="shared" si="8"/>
        <v>0</v>
      </c>
      <c r="C141" s="36"/>
      <c r="D141" s="36"/>
      <c r="E141" s="36"/>
      <c r="F141" s="48"/>
    </row>
    <row r="142" spans="1:6" ht="12.75">
      <c r="A142" s="79" t="s">
        <v>5</v>
      </c>
      <c r="B142" s="35">
        <f t="shared" si="8"/>
        <v>0.066001</v>
      </c>
      <c r="C142" s="36"/>
      <c r="D142" s="36"/>
      <c r="E142" s="36"/>
      <c r="F142" s="48">
        <v>0.066001</v>
      </c>
    </row>
    <row r="143" spans="1:6" ht="12.75">
      <c r="A143" s="79" t="s">
        <v>23</v>
      </c>
      <c r="B143" s="35">
        <f t="shared" si="8"/>
        <v>0</v>
      </c>
      <c r="C143" s="36"/>
      <c r="D143" s="36"/>
      <c r="E143" s="36"/>
      <c r="F143" s="48"/>
    </row>
    <row r="144" spans="1:6" ht="12.75">
      <c r="A144" s="79" t="s">
        <v>24</v>
      </c>
      <c r="B144" s="35">
        <f t="shared" si="8"/>
        <v>0</v>
      </c>
      <c r="C144" s="36"/>
      <c r="D144" s="36"/>
      <c r="E144" s="36"/>
      <c r="F144" s="48"/>
    </row>
    <row r="145" spans="1:6" ht="12.75">
      <c r="A145" s="79" t="s">
        <v>25</v>
      </c>
      <c r="B145" s="35">
        <f t="shared" si="8"/>
        <v>0</v>
      </c>
      <c r="C145" s="36"/>
      <c r="D145" s="36"/>
      <c r="E145" s="36"/>
      <c r="F145" s="48"/>
    </row>
    <row r="146" spans="1:6" ht="12.75">
      <c r="A146" s="79" t="s">
        <v>26</v>
      </c>
      <c r="B146" s="35">
        <f t="shared" si="8"/>
        <v>0</v>
      </c>
      <c r="C146" s="36"/>
      <c r="D146" s="36"/>
      <c r="E146" s="36"/>
      <c r="F146" s="48"/>
    </row>
    <row r="147" spans="1:6" ht="13.5">
      <c r="A147" s="78" t="s">
        <v>0</v>
      </c>
      <c r="B147" s="23">
        <f t="shared" si="8"/>
        <v>0.378237</v>
      </c>
      <c r="C147" s="24"/>
      <c r="D147" s="24"/>
      <c r="E147" s="24">
        <v>0.2501</v>
      </c>
      <c r="F147" s="25">
        <v>0.128137</v>
      </c>
    </row>
    <row r="148" spans="1:6" ht="13.5">
      <c r="A148" s="78" t="s">
        <v>12</v>
      </c>
      <c r="B148" s="37">
        <f t="shared" si="8"/>
        <v>0.164881</v>
      </c>
      <c r="C148" s="38">
        <f>C149</f>
        <v>0</v>
      </c>
      <c r="D148" s="39">
        <f>D149</f>
        <v>0</v>
      </c>
      <c r="E148" s="39">
        <f>E149</f>
        <v>0.164881</v>
      </c>
      <c r="F148" s="49">
        <f>F149</f>
        <v>0</v>
      </c>
    </row>
    <row r="149" spans="1:6" ht="12.75">
      <c r="A149" s="79" t="s">
        <v>13</v>
      </c>
      <c r="B149" s="35">
        <f t="shared" si="8"/>
        <v>0.164881</v>
      </c>
      <c r="C149" s="36"/>
      <c r="D149" s="40"/>
      <c r="E149" s="40">
        <v>0.164881</v>
      </c>
      <c r="F149" s="47"/>
    </row>
    <row r="150" spans="1:6" ht="13.5" thickBot="1">
      <c r="A150" s="80" t="s">
        <v>14</v>
      </c>
      <c r="B150" s="41">
        <f t="shared" si="8"/>
        <v>0.238</v>
      </c>
      <c r="C150" s="42"/>
      <c r="D150" s="43"/>
      <c r="E150" s="43">
        <v>0.238</v>
      </c>
      <c r="F150" s="50"/>
    </row>
    <row r="151" spans="1:6" ht="13.5" thickBot="1">
      <c r="A151" s="72" t="s">
        <v>21</v>
      </c>
      <c r="B151" s="44">
        <f>SUM(C151:F151)</f>
        <v>2.2798510000000003</v>
      </c>
      <c r="C151" s="45">
        <f>C152+C160+C161</f>
        <v>0</v>
      </c>
      <c r="D151" s="45">
        <f>D152+D160+D161</f>
        <v>0</v>
      </c>
      <c r="E151" s="45">
        <f>E152+E160+E161</f>
        <v>1.20436</v>
      </c>
      <c r="F151" s="46">
        <f>F152+F160+F161</f>
        <v>1.0754910000000002</v>
      </c>
    </row>
    <row r="152" spans="1:6" ht="13.5">
      <c r="A152" s="78" t="s">
        <v>10</v>
      </c>
      <c r="B152" s="17">
        <f>SUM(C152:F152)</f>
        <v>1.196463</v>
      </c>
      <c r="C152" s="18">
        <f>C153+C154+C155+C156+C157+C158+C159</f>
        <v>0</v>
      </c>
      <c r="D152" s="18">
        <f>D153+D154+D155+D156+D157+D158+D159</f>
        <v>0</v>
      </c>
      <c r="E152" s="18">
        <f>E153+E154+E155+E156+E157+E158+E159</f>
        <v>0.423891</v>
      </c>
      <c r="F152" s="19">
        <f>F153+F154+F155+F156+F157+F158+F159</f>
        <v>0.772572</v>
      </c>
    </row>
    <row r="153" spans="1:6" ht="12.75">
      <c r="A153" s="79" t="s">
        <v>4</v>
      </c>
      <c r="B153" s="35">
        <f>SUM(C153:F153)</f>
        <v>0.708277</v>
      </c>
      <c r="C153" s="36"/>
      <c r="D153" s="40"/>
      <c r="E153" s="40">
        <v>0.229347</v>
      </c>
      <c r="F153" s="47">
        <v>0.47893</v>
      </c>
    </row>
    <row r="154" spans="1:6" ht="12.75">
      <c r="A154" s="79" t="s">
        <v>17</v>
      </c>
      <c r="B154" s="35">
        <f>SUM(C154:F154)</f>
        <v>0.270089</v>
      </c>
      <c r="C154" s="36"/>
      <c r="D154" s="40"/>
      <c r="E154" s="40">
        <v>0.190038</v>
      </c>
      <c r="F154" s="47">
        <v>0.080051</v>
      </c>
    </row>
    <row r="155" spans="1:6" ht="12.75">
      <c r="A155" s="79" t="s">
        <v>5</v>
      </c>
      <c r="B155" s="35">
        <f>SUM(C155:F155)</f>
        <v>0.213087</v>
      </c>
      <c r="C155" s="36"/>
      <c r="D155" s="40"/>
      <c r="E155" s="40">
        <v>0.002658</v>
      </c>
      <c r="F155" s="47">
        <v>0.210429</v>
      </c>
    </row>
    <row r="156" spans="1:6" ht="12.75">
      <c r="A156" s="79" t="s">
        <v>23</v>
      </c>
      <c r="B156" s="35">
        <f>SUM(C156:F156)</f>
        <v>0</v>
      </c>
      <c r="C156" s="36"/>
      <c r="D156" s="36"/>
      <c r="E156" s="36"/>
      <c r="F156" s="48"/>
    </row>
    <row r="157" spans="1:6" ht="12.75">
      <c r="A157" s="79" t="s">
        <v>24</v>
      </c>
      <c r="B157" s="35">
        <f>SUM(C157:F157)</f>
        <v>0.002277</v>
      </c>
      <c r="C157" s="36"/>
      <c r="D157" s="36"/>
      <c r="E157" s="36"/>
      <c r="F157" s="48">
        <v>0.002277</v>
      </c>
    </row>
    <row r="158" spans="1:6" ht="12.75">
      <c r="A158" s="79" t="s">
        <v>25</v>
      </c>
      <c r="B158" s="35">
        <f>SUM(C158:F158)</f>
        <v>0</v>
      </c>
      <c r="C158" s="36"/>
      <c r="D158" s="36"/>
      <c r="E158" s="36"/>
      <c r="F158" s="48"/>
    </row>
    <row r="159" spans="1:6" ht="12.75">
      <c r="A159" s="79" t="s">
        <v>26</v>
      </c>
      <c r="B159" s="35">
        <f>SUM(C159:F159)</f>
        <v>0.002733</v>
      </c>
      <c r="C159" s="36"/>
      <c r="D159" s="36"/>
      <c r="E159" s="36">
        <v>0.001848</v>
      </c>
      <c r="F159" s="48">
        <v>0.000885</v>
      </c>
    </row>
    <row r="160" spans="1:6" ht="13.5">
      <c r="A160" s="78" t="s">
        <v>0</v>
      </c>
      <c r="B160" s="37">
        <f>SUM(C160:F160)</f>
        <v>0.781845</v>
      </c>
      <c r="C160" s="38"/>
      <c r="D160" s="39"/>
      <c r="E160" s="26">
        <v>0.551976</v>
      </c>
      <c r="F160" s="27">
        <v>0.229869</v>
      </c>
    </row>
    <row r="161" spans="1:6" ht="13.5">
      <c r="A161" s="78" t="s">
        <v>12</v>
      </c>
      <c r="B161" s="37">
        <f>SUM(C161:F161)</f>
        <v>0.301543</v>
      </c>
      <c r="C161" s="38">
        <f>C162</f>
        <v>0</v>
      </c>
      <c r="D161" s="39">
        <f>D162</f>
        <v>0</v>
      </c>
      <c r="E161" s="39">
        <f>E162</f>
        <v>0.228493</v>
      </c>
      <c r="F161" s="49">
        <f>F162</f>
        <v>0.07305</v>
      </c>
    </row>
    <row r="162" spans="1:6" ht="12.75">
      <c r="A162" s="79" t="s">
        <v>13</v>
      </c>
      <c r="B162" s="35">
        <f>SUM(C162:F162)</f>
        <v>0.301543</v>
      </c>
      <c r="C162" s="36"/>
      <c r="D162" s="40"/>
      <c r="E162" s="40">
        <v>0.228493</v>
      </c>
      <c r="F162" s="47">
        <v>0.07305</v>
      </c>
    </row>
    <row r="163" spans="1:6" ht="13.5" thickBot="1">
      <c r="A163" s="80" t="s">
        <v>14</v>
      </c>
      <c r="B163" s="41">
        <f>SUM(C163:F163)</f>
        <v>0.43000000000000005</v>
      </c>
      <c r="C163" s="42"/>
      <c r="D163" s="43"/>
      <c r="E163" s="43">
        <v>0.406</v>
      </c>
      <c r="F163" s="50">
        <v>0.024</v>
      </c>
    </row>
    <row r="164" spans="1:6" ht="13.5" thickBot="1">
      <c r="A164" s="72" t="s">
        <v>22</v>
      </c>
      <c r="B164" s="44">
        <f>SUM(C164:F164)</f>
        <v>3.00575</v>
      </c>
      <c r="C164" s="45">
        <f>C165+C173+C174</f>
        <v>0</v>
      </c>
      <c r="D164" s="45">
        <f>D165+D173+D174</f>
        <v>0</v>
      </c>
      <c r="E164" s="45">
        <f>E165+E173+E174</f>
        <v>1.717948</v>
      </c>
      <c r="F164" s="46">
        <f>F165+F173+F174</f>
        <v>1.287802</v>
      </c>
    </row>
    <row r="165" spans="1:6" ht="13.5">
      <c r="A165" s="78" t="s">
        <v>10</v>
      </c>
      <c r="B165" s="17">
        <f>SUM(C165:F165)</f>
        <v>1.832281</v>
      </c>
      <c r="C165" s="18">
        <f>C166+C167+C168+C169+C170+C171+C172</f>
        <v>0</v>
      </c>
      <c r="D165" s="18">
        <f>D166+D167+D168+D169+D170+D171+D172</f>
        <v>0</v>
      </c>
      <c r="E165" s="18">
        <f>E166+E167+E168+E169+E170+E171+E172</f>
        <v>0.771189</v>
      </c>
      <c r="F165" s="19">
        <f>F166+F167+F168+F169+F170+F171+F172</f>
        <v>1.061092</v>
      </c>
    </row>
    <row r="166" spans="1:6" ht="13.5">
      <c r="A166" s="78" t="s">
        <v>4</v>
      </c>
      <c r="B166" s="35">
        <f>SUM(C166:F166)</f>
        <v>1.250952</v>
      </c>
      <c r="C166" s="36"/>
      <c r="D166" s="40"/>
      <c r="E166" s="40">
        <v>0.46288</v>
      </c>
      <c r="F166" s="47">
        <v>0.788072</v>
      </c>
    </row>
    <row r="167" spans="1:6" ht="13.5">
      <c r="A167" s="78" t="s">
        <v>17</v>
      </c>
      <c r="B167" s="35">
        <f>SUM(C167:F167)</f>
        <v>0.5120480000000001</v>
      </c>
      <c r="C167" s="36"/>
      <c r="D167" s="40"/>
      <c r="E167" s="40">
        <v>0.286189</v>
      </c>
      <c r="F167" s="47">
        <v>0.225859</v>
      </c>
    </row>
    <row r="168" spans="1:6" ht="13.5">
      <c r="A168" s="78" t="s">
        <v>5</v>
      </c>
      <c r="B168" s="35">
        <f>SUM(C168:F168)</f>
        <v>0.058919</v>
      </c>
      <c r="C168" s="36"/>
      <c r="D168" s="40"/>
      <c r="E168" s="40">
        <v>0.012182</v>
      </c>
      <c r="F168" s="47">
        <v>0.046737</v>
      </c>
    </row>
    <row r="169" spans="1:6" ht="12.75">
      <c r="A169" s="79" t="s">
        <v>23</v>
      </c>
      <c r="B169" s="35">
        <f>SUM(C169:F169)</f>
        <v>0</v>
      </c>
      <c r="C169" s="36"/>
      <c r="D169" s="36"/>
      <c r="E169" s="36"/>
      <c r="F169" s="48"/>
    </row>
    <row r="170" spans="1:6" ht="12.75">
      <c r="A170" s="79" t="s">
        <v>24</v>
      </c>
      <c r="B170" s="35">
        <f>SUM(C170:F170)</f>
        <v>0.008835</v>
      </c>
      <c r="C170" s="36"/>
      <c r="D170" s="36"/>
      <c r="E170" s="36">
        <v>0.008835</v>
      </c>
      <c r="F170" s="48"/>
    </row>
    <row r="171" spans="1:6" ht="12.75">
      <c r="A171" s="79" t="s">
        <v>25</v>
      </c>
      <c r="B171" s="35">
        <f>SUM(C171:F171)</f>
        <v>0</v>
      </c>
      <c r="C171" s="36"/>
      <c r="D171" s="36"/>
      <c r="E171" s="36"/>
      <c r="F171" s="48"/>
    </row>
    <row r="172" spans="1:6" ht="12.75">
      <c r="A172" s="79" t="s">
        <v>26</v>
      </c>
      <c r="B172" s="35">
        <f>SUM(C172:F172)</f>
        <v>0.0015270000000000001</v>
      </c>
      <c r="C172" s="36"/>
      <c r="D172" s="36"/>
      <c r="E172" s="36">
        <v>0.001103</v>
      </c>
      <c r="F172" s="48">
        <v>0.000424</v>
      </c>
    </row>
    <row r="173" spans="1:6" ht="13.5">
      <c r="A173" s="78" t="s">
        <v>0</v>
      </c>
      <c r="B173" s="37">
        <f>SUM(C173:F173)</f>
        <v>1.071344</v>
      </c>
      <c r="C173" s="38"/>
      <c r="D173" s="39"/>
      <c r="E173" s="26">
        <v>0.914613</v>
      </c>
      <c r="F173" s="27">
        <v>0.156731</v>
      </c>
    </row>
    <row r="174" spans="1:6" ht="13.5">
      <c r="A174" s="78" t="s">
        <v>12</v>
      </c>
      <c r="B174" s="37">
        <f>SUM(C174:F174)</f>
        <v>0.102125</v>
      </c>
      <c r="C174" s="38">
        <f>C175</f>
        <v>0</v>
      </c>
      <c r="D174" s="39">
        <f>D175</f>
        <v>0</v>
      </c>
      <c r="E174" s="39">
        <f>E175</f>
        <v>0.032146</v>
      </c>
      <c r="F174" s="49">
        <f>F175</f>
        <v>0.069979</v>
      </c>
    </row>
    <row r="175" spans="1:6" ht="12.75">
      <c r="A175" s="79" t="s">
        <v>13</v>
      </c>
      <c r="B175" s="35">
        <f>SUM(C175:F175)</f>
        <v>0.102125</v>
      </c>
      <c r="C175" s="36"/>
      <c r="D175" s="40"/>
      <c r="E175" s="40">
        <v>0.032146</v>
      </c>
      <c r="F175" s="47">
        <v>0.069979</v>
      </c>
    </row>
    <row r="176" spans="1:6" ht="13.5" thickBot="1">
      <c r="A176" s="80" t="s">
        <v>14</v>
      </c>
      <c r="B176" s="41">
        <f>SUM(C176:F176)</f>
        <v>0.195</v>
      </c>
      <c r="C176" s="42"/>
      <c r="D176" s="43"/>
      <c r="E176" s="43">
        <v>0.066</v>
      </c>
      <c r="F176" s="50">
        <v>0.129</v>
      </c>
    </row>
    <row r="177" spans="1:6" ht="13.5" thickBot="1">
      <c r="A177" s="72" t="s">
        <v>36</v>
      </c>
      <c r="B177" s="44">
        <f>SUM(C177:F177)</f>
        <v>6.675899999999999</v>
      </c>
      <c r="C177" s="45">
        <f>C178+C186+C187</f>
        <v>0</v>
      </c>
      <c r="D177" s="45">
        <f>D178+D186+D187</f>
        <v>0</v>
      </c>
      <c r="E177" s="45">
        <f>E178+E186+E187</f>
        <v>1.238286</v>
      </c>
      <c r="F177" s="46">
        <f>F178+F186+F187</f>
        <v>5.437613999999999</v>
      </c>
    </row>
    <row r="178" spans="1:6" ht="13.5">
      <c r="A178" s="78" t="s">
        <v>10</v>
      </c>
      <c r="B178" s="17">
        <f>SUM(C178:F178)</f>
        <v>4.341435</v>
      </c>
      <c r="C178" s="18">
        <f>C179+C180+C181+C182+C183+C184+C185</f>
        <v>0</v>
      </c>
      <c r="D178" s="18">
        <f>D179+D180+D181+D182+D183+D184+D185</f>
        <v>0</v>
      </c>
      <c r="E178" s="18">
        <f>E179+E180+E181+E182+E183+E184+E185</f>
        <v>0.039151</v>
      </c>
      <c r="F178" s="19">
        <f>F179+F180+F181+F182+F183+F184+F185</f>
        <v>4.302283999999999</v>
      </c>
    </row>
    <row r="179" spans="1:6" ht="12.75">
      <c r="A179" s="79" t="s">
        <v>4</v>
      </c>
      <c r="B179" s="35">
        <f>SUM(C179:F179)</f>
        <v>0.391049</v>
      </c>
      <c r="C179" s="36"/>
      <c r="D179" s="40"/>
      <c r="E179" s="81">
        <v>0.00688</v>
      </c>
      <c r="F179" s="47">
        <v>0.384169</v>
      </c>
    </row>
    <row r="180" spans="1:6" ht="12.75">
      <c r="A180" s="79" t="s">
        <v>17</v>
      </c>
      <c r="B180" s="35">
        <f>SUM(C180:F180)</f>
        <v>0</v>
      </c>
      <c r="C180" s="36"/>
      <c r="D180" s="40"/>
      <c r="E180" s="40"/>
      <c r="F180" s="47"/>
    </row>
    <row r="181" spans="1:6" ht="12.75">
      <c r="A181" s="79" t="s">
        <v>5</v>
      </c>
      <c r="B181" s="35">
        <f>SUM(C181:F181)</f>
        <v>3.941261</v>
      </c>
      <c r="C181" s="36"/>
      <c r="D181" s="40"/>
      <c r="E181" s="40">
        <v>0.026582</v>
      </c>
      <c r="F181" s="47">
        <f>3.914679</f>
        <v>3.914679</v>
      </c>
    </row>
    <row r="182" spans="1:6" ht="12.75">
      <c r="A182" s="79" t="s">
        <v>23</v>
      </c>
      <c r="B182" s="35">
        <f>SUM(C182:F182)</f>
        <v>0</v>
      </c>
      <c r="C182" s="36"/>
      <c r="D182" s="36"/>
      <c r="E182" s="36"/>
      <c r="F182" s="48"/>
    </row>
    <row r="183" spans="1:6" ht="12.75">
      <c r="A183" s="79" t="s">
        <v>24</v>
      </c>
      <c r="B183" s="35">
        <f>SUM(C183:F183)</f>
        <v>0.009125</v>
      </c>
      <c r="C183" s="36"/>
      <c r="D183" s="36"/>
      <c r="E183" s="67">
        <v>0.005689</v>
      </c>
      <c r="F183" s="68">
        <v>0.003436</v>
      </c>
    </row>
    <row r="184" spans="1:6" ht="12.75">
      <c r="A184" s="79" t="s">
        <v>25</v>
      </c>
      <c r="B184" s="35">
        <f>SUM(C184:F184)</f>
        <v>0</v>
      </c>
      <c r="C184" s="36"/>
      <c r="D184" s="36"/>
      <c r="E184" s="36"/>
      <c r="F184" s="48"/>
    </row>
    <row r="185" spans="1:6" ht="12.75">
      <c r="A185" s="79" t="s">
        <v>26</v>
      </c>
      <c r="B185" s="35">
        <f>SUM(C185:F185)</f>
        <v>0</v>
      </c>
      <c r="C185" s="36"/>
      <c r="D185" s="36"/>
      <c r="E185" s="36"/>
      <c r="F185" s="48"/>
    </row>
    <row r="186" spans="1:6" ht="13.5">
      <c r="A186" s="78" t="s">
        <v>0</v>
      </c>
      <c r="B186" s="37">
        <f>SUM(C186:F186)</f>
        <v>2.1157589999999997</v>
      </c>
      <c r="C186" s="38"/>
      <c r="D186" s="39"/>
      <c r="E186" s="26">
        <v>1.100792</v>
      </c>
      <c r="F186" s="27">
        <v>1.014967</v>
      </c>
    </row>
    <row r="187" spans="1:6" ht="13.5">
      <c r="A187" s="82" t="s">
        <v>12</v>
      </c>
      <c r="B187" s="23">
        <f>SUM(C187:F187)</f>
        <v>0.218706</v>
      </c>
      <c r="C187" s="24">
        <f>C188</f>
        <v>0</v>
      </c>
      <c r="D187" s="26">
        <f>D188</f>
        <v>0</v>
      </c>
      <c r="E187" s="39">
        <f>E188</f>
        <v>0.098343</v>
      </c>
      <c r="F187" s="49">
        <f>F188</f>
        <v>0.120363</v>
      </c>
    </row>
    <row r="188" spans="1:6" ht="12.75">
      <c r="A188" s="79" t="s">
        <v>13</v>
      </c>
      <c r="B188" s="35">
        <f>SUM(C188:F188)</f>
        <v>0.218706</v>
      </c>
      <c r="C188" s="36"/>
      <c r="D188" s="40"/>
      <c r="E188" s="40">
        <v>0.098343</v>
      </c>
      <c r="F188" s="47">
        <v>0.120363</v>
      </c>
    </row>
    <row r="189" spans="1:6" ht="13.5" thickBot="1">
      <c r="A189" s="80" t="s">
        <v>14</v>
      </c>
      <c r="B189" s="41">
        <f>SUM(C189:F189)</f>
        <v>0.374</v>
      </c>
      <c r="C189" s="42"/>
      <c r="D189" s="43"/>
      <c r="E189" s="43">
        <v>0.166</v>
      </c>
      <c r="F189" s="50">
        <v>0.208</v>
      </c>
    </row>
    <row r="190" spans="1:6" ht="13.5" thickBot="1">
      <c r="A190" s="72" t="s">
        <v>30</v>
      </c>
      <c r="B190" s="44">
        <f>SUM(C190:F190)</f>
        <v>0.337585</v>
      </c>
      <c r="C190" s="45">
        <f>C191+C199+C200</f>
        <v>0</v>
      </c>
      <c r="D190" s="45">
        <f>D191+D199+D200</f>
        <v>0</v>
      </c>
      <c r="E190" s="45">
        <f>E191+E199+E200</f>
        <v>0.30368500000000004</v>
      </c>
      <c r="F190" s="46">
        <f>F191+F199+F200</f>
        <v>0.0339</v>
      </c>
    </row>
    <row r="191" spans="1:6" ht="13.5">
      <c r="A191" s="78" t="s">
        <v>10</v>
      </c>
      <c r="B191" s="17">
        <f aca="true" t="shared" si="9" ref="B191:B199">SUM(C191:F191)</f>
        <v>0.034609</v>
      </c>
      <c r="C191" s="18">
        <f>C192+C193+C194+C195+C196+C197+C198</f>
        <v>0</v>
      </c>
      <c r="D191" s="18">
        <f>D192+D193+D194+D195+D196+D197+D198</f>
        <v>0</v>
      </c>
      <c r="E191" s="18">
        <f>E192+E193+E194+E195+E196+E197+E198</f>
        <v>0.000734</v>
      </c>
      <c r="F191" s="19">
        <f>F192+F193+F194+F195+F196+F197+F198</f>
        <v>0.033875</v>
      </c>
    </row>
    <row r="192" spans="1:6" ht="12.75">
      <c r="A192" s="79" t="s">
        <v>4</v>
      </c>
      <c r="B192" s="35">
        <f t="shared" si="9"/>
        <v>0.025875</v>
      </c>
      <c r="C192" s="36"/>
      <c r="D192" s="40"/>
      <c r="E192" s="40"/>
      <c r="F192" s="47">
        <v>0.025875</v>
      </c>
    </row>
    <row r="193" spans="1:6" ht="12.75">
      <c r="A193" s="79" t="s">
        <v>17</v>
      </c>
      <c r="B193" s="35">
        <f t="shared" si="9"/>
        <v>0</v>
      </c>
      <c r="C193" s="36"/>
      <c r="D193" s="40"/>
      <c r="E193" s="40"/>
      <c r="F193" s="47"/>
    </row>
    <row r="194" spans="1:6" ht="12.75">
      <c r="A194" s="79" t="s">
        <v>5</v>
      </c>
      <c r="B194" s="35">
        <f t="shared" si="9"/>
        <v>0.000734</v>
      </c>
      <c r="C194" s="36"/>
      <c r="D194" s="40"/>
      <c r="E194" s="81">
        <v>0.000734</v>
      </c>
      <c r="F194" s="47"/>
    </row>
    <row r="195" spans="1:6" ht="12.75">
      <c r="A195" s="79" t="s">
        <v>23</v>
      </c>
      <c r="B195" s="35">
        <f t="shared" si="9"/>
        <v>0</v>
      </c>
      <c r="C195" s="36"/>
      <c r="D195" s="36"/>
      <c r="E195" s="36"/>
      <c r="F195" s="48"/>
    </row>
    <row r="196" spans="1:6" ht="12.75">
      <c r="A196" s="79" t="s">
        <v>24</v>
      </c>
      <c r="B196" s="35">
        <f t="shared" si="9"/>
        <v>0</v>
      </c>
      <c r="C196" s="36"/>
      <c r="D196" s="36"/>
      <c r="E196" s="36"/>
      <c r="F196" s="48"/>
    </row>
    <row r="197" spans="1:6" ht="12.75">
      <c r="A197" s="79" t="s">
        <v>25</v>
      </c>
      <c r="B197" s="35">
        <f t="shared" si="9"/>
        <v>0</v>
      </c>
      <c r="C197" s="36"/>
      <c r="D197" s="36"/>
      <c r="E197" s="36"/>
      <c r="F197" s="48"/>
    </row>
    <row r="198" spans="1:6" ht="12.75">
      <c r="A198" s="79" t="s">
        <v>26</v>
      </c>
      <c r="B198" s="35">
        <f t="shared" si="9"/>
        <v>0.008</v>
      </c>
      <c r="C198" s="36"/>
      <c r="D198" s="36"/>
      <c r="E198" s="36"/>
      <c r="F198" s="68">
        <v>0.008</v>
      </c>
    </row>
    <row r="199" spans="1:6" ht="13.5">
      <c r="A199" s="83" t="s">
        <v>0</v>
      </c>
      <c r="B199" s="51">
        <f t="shared" si="9"/>
        <v>0.221477</v>
      </c>
      <c r="C199" s="24"/>
      <c r="D199" s="26"/>
      <c r="E199" s="26">
        <v>0.221452</v>
      </c>
      <c r="F199" s="84">
        <v>2.5E-05</v>
      </c>
    </row>
    <row r="200" spans="1:6" ht="13.5">
      <c r="A200" s="82" t="s">
        <v>12</v>
      </c>
      <c r="B200" s="23">
        <f>SUM(C200:F200)</f>
        <v>0.081499</v>
      </c>
      <c r="C200" s="24">
        <f>C201</f>
        <v>0</v>
      </c>
      <c r="D200" s="26">
        <f>D201</f>
        <v>0</v>
      </c>
      <c r="E200" s="26">
        <f>E201</f>
        <v>0.081499</v>
      </c>
      <c r="F200" s="27">
        <f>F201</f>
        <v>0</v>
      </c>
    </row>
    <row r="201" spans="1:6" ht="12.75">
      <c r="A201" s="79" t="s">
        <v>13</v>
      </c>
      <c r="B201" s="35">
        <f>SUM(C201:F201)</f>
        <v>0.081499</v>
      </c>
      <c r="C201" s="36"/>
      <c r="D201" s="40"/>
      <c r="E201" s="40">
        <v>0.081499</v>
      </c>
      <c r="F201" s="47"/>
    </row>
    <row r="202" spans="1:6" ht="13.5" thickBot="1">
      <c r="A202" s="80" t="s">
        <v>14</v>
      </c>
      <c r="B202" s="41">
        <f>SUM(C202:F202)</f>
        <v>0.21</v>
      </c>
      <c r="C202" s="42"/>
      <c r="D202" s="43"/>
      <c r="E202" s="43">
        <v>0.21</v>
      </c>
      <c r="F202" s="50"/>
    </row>
    <row r="203" spans="1:6" ht="13.5">
      <c r="A203" s="85"/>
      <c r="B203" s="86"/>
      <c r="C203" s="86"/>
      <c r="D203" s="87"/>
      <c r="E203" s="87"/>
      <c r="F203" s="87"/>
    </row>
  </sheetData>
  <sheetProtection/>
  <mergeCells count="3">
    <mergeCell ref="A5:A6"/>
    <mergeCell ref="B4:F4"/>
    <mergeCell ref="B5:F5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zoomScale="86" zoomScaleNormal="86" zoomScalePageLayoutView="0" workbookViewId="0" topLeftCell="A1">
      <selection activeCell="F177" sqref="F177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9.140625" style="1" customWidth="1"/>
    <col min="8" max="8" width="9.140625" style="208" customWidth="1"/>
    <col min="9" max="9" width="9.140625" style="195" customWidth="1"/>
    <col min="10" max="16384" width="9.140625" style="1" customWidth="1"/>
  </cols>
  <sheetData>
    <row r="1" spans="1:9" s="12" customFormat="1" ht="15.75">
      <c r="A1" s="9" t="s">
        <v>57</v>
      </c>
      <c r="B1" s="13"/>
      <c r="C1" s="14"/>
      <c r="D1" s="14"/>
      <c r="E1" s="14"/>
      <c r="F1" s="14"/>
      <c r="H1" s="206"/>
      <c r="I1" s="5"/>
    </row>
    <row r="2" spans="1:9" s="3" customFormat="1" ht="15.75" customHeight="1">
      <c r="A2" s="16" t="s">
        <v>37</v>
      </c>
      <c r="B2" s="11"/>
      <c r="C2" s="11"/>
      <c r="D2" s="11"/>
      <c r="E2" s="11"/>
      <c r="F2" s="11"/>
      <c r="H2" s="11"/>
      <c r="I2" s="4"/>
    </row>
    <row r="3" spans="1:9" s="3" customFormat="1" ht="15.75" customHeight="1" thickBot="1">
      <c r="A3" s="6"/>
      <c r="B3" s="10"/>
      <c r="C3" s="10"/>
      <c r="D3" s="10"/>
      <c r="E3" s="10"/>
      <c r="F3" s="10"/>
      <c r="H3" s="11"/>
      <c r="I3" s="4"/>
    </row>
    <row r="4" spans="1:9" s="2" customFormat="1" ht="15.75" customHeight="1" thickBot="1">
      <c r="A4" s="7"/>
      <c r="B4" s="256" t="s">
        <v>58</v>
      </c>
      <c r="C4" s="257"/>
      <c r="D4" s="257"/>
      <c r="E4" s="257"/>
      <c r="F4" s="258"/>
      <c r="H4" s="207"/>
      <c r="I4" s="196"/>
    </row>
    <row r="5" spans="1:9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  <c r="H5" s="207"/>
      <c r="I5" s="196"/>
    </row>
    <row r="6" spans="1:9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H6" s="207"/>
      <c r="I6" s="196"/>
    </row>
    <row r="7" spans="1:6" ht="18.75" customHeight="1" thickBot="1">
      <c r="A7" s="54" t="s">
        <v>31</v>
      </c>
      <c r="B7" s="44">
        <f aca="true" t="shared" si="0" ref="B7:F19">B31+B47+B60+B73+B86+B99+B112+B125+B138+B151+B164+B177+B190</f>
        <v>100.76425600000003</v>
      </c>
      <c r="C7" s="45">
        <f t="shared" si="0"/>
        <v>30.102641</v>
      </c>
      <c r="D7" s="45">
        <f t="shared" si="0"/>
        <v>0.6089</v>
      </c>
      <c r="E7" s="46">
        <f t="shared" si="0"/>
        <v>29.446436</v>
      </c>
      <c r="F7" s="46">
        <f>F8+F16+F20+F17</f>
        <v>40.606279</v>
      </c>
    </row>
    <row r="8" spans="1:6" ht="13.5">
      <c r="A8" s="55" t="s">
        <v>10</v>
      </c>
      <c r="B8" s="17">
        <f aca="true" t="shared" si="1" ref="B8:B22">SUM(C8:F8)</f>
        <v>31.080932999999998</v>
      </c>
      <c r="C8" s="18">
        <f>C9+C10+C11+C12+C13+C14+C15</f>
        <v>0.081921</v>
      </c>
      <c r="D8" s="18">
        <f>D9+D10+D11+D12+D13+D14+D15</f>
        <v>0.00092</v>
      </c>
      <c r="E8" s="18">
        <f>E9+E10+E11+E12+E13+E14+E15</f>
        <v>2.1852009999999997</v>
      </c>
      <c r="F8" s="19">
        <f>F9+F10+F11+F12+F13+F14+F15</f>
        <v>28.812890999999997</v>
      </c>
    </row>
    <row r="9" spans="1:6" ht="12.75">
      <c r="A9" s="56" t="s">
        <v>4</v>
      </c>
      <c r="B9" s="20">
        <f t="shared" si="1"/>
        <v>11.827131999999999</v>
      </c>
      <c r="C9" s="21">
        <f>C33+C49+C62+C75+C88+C101+C114+C127+C140+C153+C166+C179+C192</f>
        <v>0.006143</v>
      </c>
      <c r="D9" s="21">
        <f t="shared" si="0"/>
        <v>0</v>
      </c>
      <c r="E9" s="21">
        <f t="shared" si="0"/>
        <v>1.083069</v>
      </c>
      <c r="F9" s="22">
        <f t="shared" si="0"/>
        <v>10.737919999999999</v>
      </c>
    </row>
    <row r="10" spans="1:6" ht="12.75">
      <c r="A10" s="56" t="s">
        <v>11</v>
      </c>
      <c r="B10" s="20">
        <f t="shared" si="1"/>
        <v>0.8962019999999999</v>
      </c>
      <c r="C10" s="21">
        <f t="shared" si="0"/>
        <v>0</v>
      </c>
      <c r="D10" s="21">
        <f t="shared" si="0"/>
        <v>0</v>
      </c>
      <c r="E10" s="21">
        <f t="shared" si="0"/>
        <v>0.475122</v>
      </c>
      <c r="F10" s="22">
        <f t="shared" si="0"/>
        <v>0.42108</v>
      </c>
    </row>
    <row r="11" spans="1:6" ht="12.75">
      <c r="A11" s="56" t="s">
        <v>5</v>
      </c>
      <c r="B11" s="20">
        <f t="shared" si="1"/>
        <v>17.952177</v>
      </c>
      <c r="C11" s="21">
        <f t="shared" si="0"/>
        <v>0.013822</v>
      </c>
      <c r="D11" s="21">
        <f t="shared" si="0"/>
        <v>0.00092</v>
      </c>
      <c r="E11" s="21">
        <f t="shared" si="0"/>
        <v>0.35837499999999994</v>
      </c>
      <c r="F11" s="22">
        <f t="shared" si="0"/>
        <v>17.57906</v>
      </c>
    </row>
    <row r="12" spans="1:6" ht="12.75">
      <c r="A12" s="56" t="s">
        <v>23</v>
      </c>
      <c r="B12" s="20">
        <f t="shared" si="1"/>
        <v>0.0025830000000000002</v>
      </c>
      <c r="C12" s="21">
        <f t="shared" si="0"/>
        <v>0</v>
      </c>
      <c r="D12" s="21">
        <f t="shared" si="0"/>
        <v>0</v>
      </c>
      <c r="E12" s="21">
        <f t="shared" si="0"/>
        <v>0.0025830000000000002</v>
      </c>
      <c r="F12" s="22">
        <f t="shared" si="0"/>
        <v>0</v>
      </c>
    </row>
    <row r="13" spans="1:6" ht="12.75">
      <c r="A13" s="56" t="s">
        <v>24</v>
      </c>
      <c r="B13" s="20">
        <f t="shared" si="1"/>
        <v>0.030257</v>
      </c>
      <c r="C13" s="21">
        <f t="shared" si="0"/>
        <v>0</v>
      </c>
      <c r="D13" s="21">
        <f t="shared" si="0"/>
        <v>0</v>
      </c>
      <c r="E13" s="21">
        <f t="shared" si="0"/>
        <v>0.012721</v>
      </c>
      <c r="F13" s="22">
        <f t="shared" si="0"/>
        <v>0.017536</v>
      </c>
    </row>
    <row r="14" spans="1:6" ht="12.75">
      <c r="A14" s="56" t="s">
        <v>25</v>
      </c>
      <c r="B14" s="20">
        <f t="shared" si="1"/>
        <v>0.35229999999999995</v>
      </c>
      <c r="C14" s="21">
        <f t="shared" si="0"/>
        <v>0.054011</v>
      </c>
      <c r="D14" s="21">
        <f t="shared" si="0"/>
        <v>0</v>
      </c>
      <c r="E14" s="21">
        <f t="shared" si="0"/>
        <v>0.245164</v>
      </c>
      <c r="F14" s="22">
        <f t="shared" si="0"/>
        <v>0.053125</v>
      </c>
    </row>
    <row r="15" spans="1:6" ht="12.75">
      <c r="A15" s="56" t="s">
        <v>26</v>
      </c>
      <c r="B15" s="20">
        <f t="shared" si="1"/>
        <v>0.020282</v>
      </c>
      <c r="C15" s="21">
        <f t="shared" si="0"/>
        <v>0.007945</v>
      </c>
      <c r="D15" s="21">
        <f t="shared" si="0"/>
        <v>0</v>
      </c>
      <c r="E15" s="21">
        <f t="shared" si="0"/>
        <v>0.008167</v>
      </c>
      <c r="F15" s="22">
        <f t="shared" si="0"/>
        <v>0.00417</v>
      </c>
    </row>
    <row r="16" spans="1:6" ht="13.5">
      <c r="A16" s="55" t="s">
        <v>0</v>
      </c>
      <c r="B16" s="23">
        <f t="shared" si="1"/>
        <v>44.78174200000001</v>
      </c>
      <c r="C16" s="202">
        <f t="shared" si="0"/>
        <v>16.269201000000002</v>
      </c>
      <c r="D16" s="202">
        <f t="shared" si="0"/>
        <v>0.380486</v>
      </c>
      <c r="E16" s="202">
        <f t="shared" si="0"/>
        <v>17.758169000000002</v>
      </c>
      <c r="F16" s="203">
        <f t="shared" si="0"/>
        <v>10.373886000000002</v>
      </c>
    </row>
    <row r="17" spans="1:6" ht="13.5">
      <c r="A17" s="55" t="s">
        <v>12</v>
      </c>
      <c r="B17" s="23">
        <f t="shared" si="1"/>
        <v>23.598147000000004</v>
      </c>
      <c r="C17" s="24">
        <f t="shared" si="0"/>
        <v>12.448084999999999</v>
      </c>
      <c r="D17" s="24">
        <f t="shared" si="0"/>
        <v>0.227494</v>
      </c>
      <c r="E17" s="24">
        <f t="shared" si="0"/>
        <v>9.503066000000002</v>
      </c>
      <c r="F17" s="25">
        <f t="shared" si="0"/>
        <v>1.4195019999999998</v>
      </c>
    </row>
    <row r="18" spans="1:6" ht="13.5">
      <c r="A18" s="56" t="s">
        <v>13</v>
      </c>
      <c r="B18" s="204">
        <f t="shared" si="1"/>
        <v>23.598147000000004</v>
      </c>
      <c r="C18" s="24">
        <f t="shared" si="0"/>
        <v>12.448084999999999</v>
      </c>
      <c r="D18" s="24">
        <f t="shared" si="0"/>
        <v>0.227494</v>
      </c>
      <c r="E18" s="24">
        <f t="shared" si="0"/>
        <v>9.503066000000002</v>
      </c>
      <c r="F18" s="25">
        <f t="shared" si="0"/>
        <v>1.4195019999999998</v>
      </c>
    </row>
    <row r="19" spans="1:6" ht="12.75">
      <c r="A19" s="57" t="s">
        <v>14</v>
      </c>
      <c r="B19" s="58">
        <f>SUM(C19:F19)</f>
        <v>34.511</v>
      </c>
      <c r="C19" s="21">
        <f t="shared" si="0"/>
        <v>17.772</v>
      </c>
      <c r="D19" s="21">
        <f t="shared" si="0"/>
        <v>0.277</v>
      </c>
      <c r="E19" s="21">
        <f t="shared" si="0"/>
        <v>14.316000000000003</v>
      </c>
      <c r="F19" s="22">
        <f t="shared" si="0"/>
        <v>2.1459999999999995</v>
      </c>
    </row>
    <row r="20" spans="1:6" ht="13.5">
      <c r="A20" s="55" t="s">
        <v>15</v>
      </c>
      <c r="B20" s="23">
        <f t="shared" si="1"/>
        <v>1.303434</v>
      </c>
      <c r="C20" s="24">
        <f>C21</f>
        <v>1.303434</v>
      </c>
      <c r="D20" s="26"/>
      <c r="E20" s="26"/>
      <c r="F20" s="27"/>
    </row>
    <row r="21" spans="1:6" ht="12.75">
      <c r="A21" s="56" t="s">
        <v>13</v>
      </c>
      <c r="B21" s="20">
        <f t="shared" si="1"/>
        <v>1.303434</v>
      </c>
      <c r="C21" s="21">
        <f>C45</f>
        <v>1.303434</v>
      </c>
      <c r="D21" s="28"/>
      <c r="E21" s="28"/>
      <c r="F21" s="29"/>
    </row>
    <row r="22" spans="1:6" ht="12.75">
      <c r="A22" s="60" t="s">
        <v>16</v>
      </c>
      <c r="B22" s="58">
        <f t="shared" si="1"/>
        <v>2.685</v>
      </c>
      <c r="C22" s="59">
        <f>C46</f>
        <v>2.685</v>
      </c>
      <c r="D22" s="30"/>
      <c r="E22" s="30"/>
      <c r="F22" s="31"/>
    </row>
    <row r="23" spans="1:6" ht="13.5">
      <c r="A23" s="55" t="s">
        <v>32</v>
      </c>
      <c r="B23" s="23">
        <f>SUM(C23:F23)</f>
        <v>2.659275</v>
      </c>
      <c r="C23" s="24">
        <f>C24</f>
        <v>2.659275</v>
      </c>
      <c r="D23" s="26">
        <f>D24</f>
        <v>0</v>
      </c>
      <c r="E23" s="26">
        <f>E24</f>
        <v>0</v>
      </c>
      <c r="F23" s="27">
        <f>F24</f>
        <v>0</v>
      </c>
    </row>
    <row r="24" spans="1:6" ht="12.75">
      <c r="A24" s="56" t="s">
        <v>13</v>
      </c>
      <c r="B24" s="20">
        <f>SUM(C24:F24)</f>
        <v>2.659275</v>
      </c>
      <c r="C24" s="21">
        <f>C58</f>
        <v>2.659275</v>
      </c>
      <c r="D24" s="28"/>
      <c r="E24" s="28"/>
      <c r="F24" s="29"/>
    </row>
    <row r="25" spans="1:6" ht="12.75" customHeight="1" thickBot="1">
      <c r="A25" s="61" t="s">
        <v>14</v>
      </c>
      <c r="B25" s="32">
        <f>SUM(C25:F25)</f>
        <v>6.111</v>
      </c>
      <c r="C25" s="62">
        <f>C59</f>
        <v>6.111</v>
      </c>
      <c r="D25" s="33"/>
      <c r="E25" s="33"/>
      <c r="F25" s="34"/>
    </row>
    <row r="26" spans="1:6" ht="12.75" customHeight="1" hidden="1" thickBot="1">
      <c r="A26" s="88"/>
      <c r="B26" s="89"/>
      <c r="C26" s="90"/>
      <c r="D26" s="91"/>
      <c r="E26" s="91"/>
      <c r="F26" s="92"/>
    </row>
    <row r="27" spans="1:6" ht="12.75" customHeight="1" hidden="1" thickBot="1">
      <c r="A27" s="93"/>
      <c r="B27" s="94"/>
      <c r="C27" s="95"/>
      <c r="D27" s="96"/>
      <c r="E27" s="96"/>
      <c r="F27" s="97"/>
    </row>
    <row r="28" spans="1:6" ht="12.75" customHeight="1" hidden="1" thickBot="1">
      <c r="A28" s="98"/>
      <c r="B28" s="99"/>
      <c r="C28" s="100"/>
      <c r="D28" s="101"/>
      <c r="E28" s="101"/>
      <c r="F28" s="102"/>
    </row>
    <row r="29" spans="1:6" ht="12.75" customHeight="1" hidden="1" thickBot="1">
      <c r="A29" s="103"/>
      <c r="B29" s="104"/>
      <c r="C29" s="105"/>
      <c r="D29" s="106"/>
      <c r="E29" s="107"/>
      <c r="F29" s="108"/>
    </row>
    <row r="30" spans="1:6" ht="12.75" customHeight="1" hidden="1" thickBot="1">
      <c r="A30" s="109"/>
      <c r="B30" s="110"/>
      <c r="C30" s="111"/>
      <c r="D30" s="112"/>
      <c r="E30" s="112"/>
      <c r="F30" s="113"/>
    </row>
    <row r="31" spans="1:6" ht="13.5" customHeight="1" thickBot="1">
      <c r="A31" s="63" t="s">
        <v>39</v>
      </c>
      <c r="B31" s="227">
        <f>SUM(C31:F31)</f>
        <v>58.854679000000004</v>
      </c>
      <c r="C31" s="174">
        <f>C32+C40+C44+C41</f>
        <v>13.511757</v>
      </c>
      <c r="D31" s="174">
        <f>D32+D40+D44+D41</f>
        <v>0.457012</v>
      </c>
      <c r="E31" s="174">
        <f>E32+E40+E44+E41</f>
        <v>18.640685</v>
      </c>
      <c r="F31" s="175">
        <f>F32+F40+F44+F41</f>
        <v>26.245225</v>
      </c>
    </row>
    <row r="32" spans="1:6" ht="12.75" customHeight="1">
      <c r="A32" s="55" t="s">
        <v>10</v>
      </c>
      <c r="B32" s="228">
        <f>SUM(C32:F32)</f>
        <v>19.011317</v>
      </c>
      <c r="C32" s="229">
        <f>C33+C34+C35+C36+C37+C38+C39</f>
        <v>0.027171</v>
      </c>
      <c r="D32" s="229">
        <f>D33+D34+D35+D36+D37+D38+D39</f>
        <v>0.00092</v>
      </c>
      <c r="E32" s="229">
        <f>E33+E34+E35+E36+E37+E38+E39</f>
        <v>0.6813049999999999</v>
      </c>
      <c r="F32" s="230">
        <f>F33+F34+F35+F36+F37+F38+F39</f>
        <v>18.301921</v>
      </c>
    </row>
    <row r="33" spans="1:6" ht="12.75" customHeight="1">
      <c r="A33" s="56" t="s">
        <v>4</v>
      </c>
      <c r="B33" s="231">
        <f>SUM(C33:F33)</f>
        <v>5.152304</v>
      </c>
      <c r="C33" s="67">
        <v>0.006143</v>
      </c>
      <c r="D33" s="67"/>
      <c r="E33" s="67">
        <f>0.017669+0.192451</f>
        <v>0.21012</v>
      </c>
      <c r="F33" s="68">
        <f>0.00908+4.926961</f>
        <v>4.936041</v>
      </c>
    </row>
    <row r="34" spans="1:6" ht="12.75" customHeight="1">
      <c r="A34" s="56" t="s">
        <v>11</v>
      </c>
      <c r="B34" s="231">
        <f>SUM(C34:F34)</f>
        <v>0.076248</v>
      </c>
      <c r="C34" s="67"/>
      <c r="D34" s="67"/>
      <c r="E34" s="67">
        <v>0.023239999999999997</v>
      </c>
      <c r="F34" s="68">
        <f>0.010158+0.04285</f>
        <v>0.053008</v>
      </c>
    </row>
    <row r="35" spans="1:6" ht="12.75" customHeight="1">
      <c r="A35" s="56" t="s">
        <v>5</v>
      </c>
      <c r="B35" s="231">
        <f>SUM(C35:F35)</f>
        <v>13.577624</v>
      </c>
      <c r="C35" s="67">
        <f>0.000536+0.013286</f>
        <v>0.013822</v>
      </c>
      <c r="D35" s="67">
        <v>0.00092</v>
      </c>
      <c r="E35" s="67">
        <f>0.259082+0.050405</f>
        <v>0.30948699999999996</v>
      </c>
      <c r="F35" s="68">
        <f>13.245171+0.008224</f>
        <v>13.253395</v>
      </c>
    </row>
    <row r="36" spans="1:6" ht="12.75" customHeight="1">
      <c r="A36" s="56" t="s">
        <v>23</v>
      </c>
      <c r="B36" s="231">
        <f>SUM(C36:F36)</f>
        <v>0.0025830000000000002</v>
      </c>
      <c r="C36" s="67"/>
      <c r="D36" s="67"/>
      <c r="E36" s="67">
        <v>0.0025830000000000002</v>
      </c>
      <c r="F36" s="68">
        <v>0</v>
      </c>
    </row>
    <row r="37" spans="1:6" ht="12.75" customHeight="1">
      <c r="A37" s="56" t="s">
        <v>24</v>
      </c>
      <c r="B37" s="231">
        <f>SUM(C37:F37)</f>
        <v>0.005737</v>
      </c>
      <c r="C37" s="67"/>
      <c r="D37" s="67"/>
      <c r="E37" s="67">
        <v>0</v>
      </c>
      <c r="F37" s="68">
        <v>0.005737</v>
      </c>
    </row>
    <row r="38" spans="1:6" ht="12.75" customHeight="1">
      <c r="A38" s="56" t="s">
        <v>25</v>
      </c>
      <c r="B38" s="231">
        <f>SUM(C38:F38)</f>
        <v>0.182927</v>
      </c>
      <c r="C38" s="67"/>
      <c r="D38" s="67"/>
      <c r="E38" s="67">
        <v>0.129802</v>
      </c>
      <c r="F38" s="68">
        <v>0.053125</v>
      </c>
    </row>
    <row r="39" spans="1:6" ht="12.75" customHeight="1">
      <c r="A39" s="56" t="s">
        <v>26</v>
      </c>
      <c r="B39" s="231">
        <f>SUM(C39:F39)</f>
        <v>0.013894</v>
      </c>
      <c r="C39" s="67">
        <v>0.007206000000000001</v>
      </c>
      <c r="D39" s="67"/>
      <c r="E39" s="67">
        <v>0.006073</v>
      </c>
      <c r="F39" s="68">
        <v>0.000615</v>
      </c>
    </row>
    <row r="40" spans="1:6" ht="12.75" customHeight="1">
      <c r="A40" s="55" t="s">
        <v>0</v>
      </c>
      <c r="B40" s="232">
        <f aca="true" t="shared" si="2" ref="B40:B51">SUM(C40:F40)</f>
        <v>25.463217000000004</v>
      </c>
      <c r="C40" s="69">
        <f>0.641485+7.497773</f>
        <v>8.139258</v>
      </c>
      <c r="D40" s="69">
        <f>0.067638+0.16096</f>
        <v>0.228598</v>
      </c>
      <c r="E40" s="69">
        <f>0.963765+9.148678</f>
        <v>10.112443</v>
      </c>
      <c r="F40" s="233">
        <f>0.449251+6.533667</f>
        <v>6.982918000000001</v>
      </c>
    </row>
    <row r="41" spans="1:6" ht="12.75" customHeight="1">
      <c r="A41" s="55" t="s">
        <v>12</v>
      </c>
      <c r="B41" s="232">
        <f t="shared" si="2"/>
        <v>13.076711</v>
      </c>
      <c r="C41" s="69">
        <f>C42</f>
        <v>4.041894</v>
      </c>
      <c r="D41" s="69">
        <f>D42</f>
        <v>0.227494</v>
      </c>
      <c r="E41" s="69">
        <f>E42</f>
        <v>7.846937</v>
      </c>
      <c r="F41" s="233">
        <f>F42</f>
        <v>0.960386</v>
      </c>
    </row>
    <row r="42" spans="1:6" ht="12.75" customHeight="1">
      <c r="A42" s="56" t="s">
        <v>13</v>
      </c>
      <c r="B42" s="231">
        <f t="shared" si="2"/>
        <v>13.076711</v>
      </c>
      <c r="C42" s="67">
        <f>3.206187+0.835707</f>
        <v>4.041894</v>
      </c>
      <c r="D42" s="81">
        <v>0.227494</v>
      </c>
      <c r="E42" s="69">
        <f>7.151082+0.695855</f>
        <v>7.846937</v>
      </c>
      <c r="F42" s="234">
        <f>0.661917+0.298469</f>
        <v>0.960386</v>
      </c>
    </row>
    <row r="43" spans="1:6" ht="12.75" customHeight="1">
      <c r="A43" s="57" t="s">
        <v>14</v>
      </c>
      <c r="B43" s="235">
        <f t="shared" si="2"/>
        <v>19.282</v>
      </c>
      <c r="C43" s="236">
        <f>4.067+1.653</f>
        <v>5.720000000000001</v>
      </c>
      <c r="D43" s="237">
        <v>0.277</v>
      </c>
      <c r="E43" s="237">
        <f>11.098+0.787</f>
        <v>11.885000000000002</v>
      </c>
      <c r="F43" s="238">
        <f>1.174+0.226</f>
        <v>1.4</v>
      </c>
    </row>
    <row r="44" spans="1:6" ht="12.75" customHeight="1">
      <c r="A44" s="55" t="s">
        <v>15</v>
      </c>
      <c r="B44" s="232">
        <f t="shared" si="2"/>
        <v>1.303434</v>
      </c>
      <c r="C44" s="69">
        <f>C45</f>
        <v>1.303434</v>
      </c>
      <c r="D44" s="70">
        <f>D45</f>
        <v>0</v>
      </c>
      <c r="E44" s="70">
        <f>E45</f>
        <v>0</v>
      </c>
      <c r="F44" s="239">
        <f>F45</f>
        <v>0</v>
      </c>
    </row>
    <row r="45" spans="1:6" ht="12.75" customHeight="1">
      <c r="A45" s="56" t="s">
        <v>13</v>
      </c>
      <c r="B45" s="231">
        <f t="shared" si="2"/>
        <v>1.303434</v>
      </c>
      <c r="C45" s="67">
        <v>1.303434</v>
      </c>
      <c r="D45" s="81"/>
      <c r="E45" s="81"/>
      <c r="F45" s="240"/>
    </row>
    <row r="46" spans="1:6" ht="12.75" customHeight="1" thickBot="1">
      <c r="A46" s="60" t="s">
        <v>14</v>
      </c>
      <c r="B46" s="241">
        <f t="shared" si="2"/>
        <v>2.685</v>
      </c>
      <c r="C46" s="242">
        <v>2.685</v>
      </c>
      <c r="D46" s="243"/>
      <c r="E46" s="243"/>
      <c r="F46" s="244"/>
    </row>
    <row r="47" spans="1:6" ht="12.75" customHeight="1" thickBot="1">
      <c r="A47" s="72" t="s">
        <v>42</v>
      </c>
      <c r="B47" s="44">
        <f t="shared" si="2"/>
        <v>2.659275</v>
      </c>
      <c r="C47" s="45">
        <f>C48+C56+C57</f>
        <v>2.659275</v>
      </c>
      <c r="D47" s="45">
        <f>D48+D56+D57</f>
        <v>0</v>
      </c>
      <c r="E47" s="45">
        <f>E48+E56+E57</f>
        <v>0</v>
      </c>
      <c r="F47" s="46">
        <f>F48+F56+F57</f>
        <v>0</v>
      </c>
    </row>
    <row r="48" spans="1:6" ht="12.75" customHeight="1">
      <c r="A48" s="55" t="s">
        <v>10</v>
      </c>
      <c r="B48" s="17">
        <f t="shared" si="2"/>
        <v>0</v>
      </c>
      <c r="C48" s="18">
        <f>C49+C50+C51+C52+C53+C54+C55</f>
        <v>0</v>
      </c>
      <c r="D48" s="18">
        <f>D49+D50+D51+D52+D53+D54+D55</f>
        <v>0</v>
      </c>
      <c r="E48" s="18">
        <f>E49+E50+E51+E52+E53+E54+E55</f>
        <v>0</v>
      </c>
      <c r="F48" s="19">
        <f>F49+F50+F51+F52+F53+F54+F55</f>
        <v>0</v>
      </c>
    </row>
    <row r="49" spans="1:6" ht="12.75" customHeight="1">
      <c r="A49" s="56" t="s">
        <v>4</v>
      </c>
      <c r="B49" s="35">
        <f t="shared" si="2"/>
        <v>0</v>
      </c>
      <c r="C49" s="36"/>
      <c r="D49" s="40"/>
      <c r="E49" s="40"/>
      <c r="F49" s="47"/>
    </row>
    <row r="50" spans="1:6" ht="12.75" customHeight="1">
      <c r="A50" s="56" t="s">
        <v>17</v>
      </c>
      <c r="B50" s="35">
        <f t="shared" si="2"/>
        <v>0</v>
      </c>
      <c r="C50" s="36"/>
      <c r="D50" s="40"/>
      <c r="E50" s="40"/>
      <c r="F50" s="47"/>
    </row>
    <row r="51" spans="1:6" ht="12.75" customHeight="1">
      <c r="A51" s="56" t="s">
        <v>5</v>
      </c>
      <c r="B51" s="35">
        <f t="shared" si="2"/>
        <v>0</v>
      </c>
      <c r="C51" s="36"/>
      <c r="D51" s="40"/>
      <c r="E51" s="40"/>
      <c r="F51" s="47"/>
    </row>
    <row r="52" spans="1:6" ht="12.75" customHeight="1">
      <c r="A52" s="56" t="s">
        <v>23</v>
      </c>
      <c r="B52" s="35">
        <f>SUM(C52:F52)</f>
        <v>0</v>
      </c>
      <c r="C52" s="36"/>
      <c r="D52" s="36"/>
      <c r="E52" s="36"/>
      <c r="F52" s="48"/>
    </row>
    <row r="53" spans="1:6" ht="12.75" customHeight="1">
      <c r="A53" s="56" t="s">
        <v>24</v>
      </c>
      <c r="B53" s="35">
        <f>SUM(C53:F53)</f>
        <v>0</v>
      </c>
      <c r="C53" s="36"/>
      <c r="D53" s="36"/>
      <c r="E53" s="36"/>
      <c r="F53" s="48"/>
    </row>
    <row r="54" spans="1:6" ht="12.75" customHeight="1">
      <c r="A54" s="56" t="s">
        <v>25</v>
      </c>
      <c r="B54" s="35">
        <f>SUM(C54:F54)</f>
        <v>0</v>
      </c>
      <c r="C54" s="245"/>
      <c r="D54" s="21"/>
      <c r="E54" s="36"/>
      <c r="F54" s="48"/>
    </row>
    <row r="55" spans="1:6" ht="12.75" customHeight="1">
      <c r="A55" s="56" t="s">
        <v>26</v>
      </c>
      <c r="B55" s="35">
        <f>SUM(C55:F55)</f>
        <v>0</v>
      </c>
      <c r="C55" s="245"/>
      <c r="D55" s="21"/>
      <c r="E55" s="36"/>
      <c r="F55" s="48"/>
    </row>
    <row r="56" spans="1:6" ht="12.75" customHeight="1">
      <c r="A56" s="55" t="s">
        <v>0</v>
      </c>
      <c r="B56" s="37">
        <f aca="true" t="shared" si="3" ref="B56:B64">SUM(C56:F56)</f>
        <v>0</v>
      </c>
      <c r="C56" s="246"/>
      <c r="D56" s="26"/>
      <c r="E56" s="26"/>
      <c r="F56" s="27"/>
    </row>
    <row r="57" spans="1:6" ht="12.75" customHeight="1">
      <c r="A57" s="55" t="s">
        <v>12</v>
      </c>
      <c r="B57" s="37">
        <f t="shared" si="3"/>
        <v>2.659275</v>
      </c>
      <c r="C57" s="246">
        <f>C58</f>
        <v>2.659275</v>
      </c>
      <c r="D57" s="26">
        <f>D58</f>
        <v>0</v>
      </c>
      <c r="E57" s="39">
        <f>E58</f>
        <v>0</v>
      </c>
      <c r="F57" s="49">
        <f>F58</f>
        <v>0</v>
      </c>
    </row>
    <row r="58" spans="1:6" ht="12.75" customHeight="1">
      <c r="A58" s="56" t="s">
        <v>13</v>
      </c>
      <c r="B58" s="35">
        <f t="shared" si="3"/>
        <v>2.659275</v>
      </c>
      <c r="C58" s="245">
        <v>2.659275</v>
      </c>
      <c r="D58" s="28"/>
      <c r="E58" s="40"/>
      <c r="F58" s="47"/>
    </row>
    <row r="59" spans="1:6" ht="12.75" customHeight="1" thickBot="1">
      <c r="A59" s="73" t="s">
        <v>14</v>
      </c>
      <c r="B59" s="41">
        <f t="shared" si="3"/>
        <v>6.111</v>
      </c>
      <c r="C59" s="42">
        <v>6.111</v>
      </c>
      <c r="D59" s="43"/>
      <c r="E59" s="43"/>
      <c r="F59" s="50"/>
    </row>
    <row r="60" spans="1:6" ht="12.75" customHeight="1" thickBot="1">
      <c r="A60" s="72" t="s">
        <v>27</v>
      </c>
      <c r="B60" s="44">
        <f t="shared" si="3"/>
        <v>13.272423</v>
      </c>
      <c r="C60" s="45">
        <f>C61+C69+C70</f>
        <v>7.384009</v>
      </c>
      <c r="D60" s="45">
        <f>D61+D69+D70</f>
        <v>0.151888</v>
      </c>
      <c r="E60" s="45">
        <f>E61+E69+E70</f>
        <v>2.325403</v>
      </c>
      <c r="F60" s="46">
        <f>F61+F69+F70</f>
        <v>3.411123</v>
      </c>
    </row>
    <row r="61" spans="1:6" ht="12.75" customHeight="1">
      <c r="A61" s="78" t="s">
        <v>10</v>
      </c>
      <c r="B61" s="17">
        <f t="shared" si="3"/>
        <v>2.575388</v>
      </c>
      <c r="C61" s="18">
        <f>C62+C63+C64+C65+C66+C67+C68</f>
        <v>0</v>
      </c>
      <c r="D61" s="18">
        <f>D62+D63+D64+D65+D66+D67+D68</f>
        <v>0</v>
      </c>
      <c r="E61" s="18">
        <f>E62+E63+E64+E65+E66+E67+E68</f>
        <v>0.15529600000000002</v>
      </c>
      <c r="F61" s="19">
        <f>F62+F63+F64+F65+F66+F67+F68</f>
        <v>2.420092</v>
      </c>
    </row>
    <row r="62" spans="1:6" ht="12.75" customHeight="1">
      <c r="A62" s="79" t="s">
        <v>4</v>
      </c>
      <c r="B62" s="35">
        <f t="shared" si="3"/>
        <v>2.411676</v>
      </c>
      <c r="C62" s="36"/>
      <c r="D62" s="36"/>
      <c r="E62" s="36">
        <v>0.143158</v>
      </c>
      <c r="F62" s="48">
        <v>2.268518</v>
      </c>
    </row>
    <row r="63" spans="1:6" ht="12.75" customHeight="1">
      <c r="A63" s="79" t="s">
        <v>17</v>
      </c>
      <c r="B63" s="35">
        <f t="shared" si="3"/>
        <v>0.09226300000000001</v>
      </c>
      <c r="C63" s="36"/>
      <c r="D63" s="40"/>
      <c r="E63" s="40"/>
      <c r="F63" s="48">
        <v>0.09226300000000001</v>
      </c>
    </row>
    <row r="64" spans="1:6" ht="12.75" customHeight="1">
      <c r="A64" s="79" t="s">
        <v>5</v>
      </c>
      <c r="B64" s="35">
        <f t="shared" si="3"/>
        <v>0.071449</v>
      </c>
      <c r="C64" s="36"/>
      <c r="D64" s="40"/>
      <c r="E64" s="40">
        <v>0.012138</v>
      </c>
      <c r="F64" s="48">
        <v>0.059311</v>
      </c>
    </row>
    <row r="65" spans="1:6" ht="12.75" customHeight="1">
      <c r="A65" s="79" t="s">
        <v>23</v>
      </c>
      <c r="B65" s="35">
        <f>SUM(C65:F65)</f>
        <v>0</v>
      </c>
      <c r="C65" s="36"/>
      <c r="D65" s="36"/>
      <c r="E65" s="36"/>
      <c r="F65" s="48"/>
    </row>
    <row r="66" spans="1:6" ht="12.75" customHeight="1">
      <c r="A66" s="79" t="s">
        <v>24</v>
      </c>
      <c r="B66" s="35">
        <f>SUM(C66:F66)</f>
        <v>0</v>
      </c>
      <c r="C66" s="36"/>
      <c r="D66" s="36"/>
      <c r="E66" s="36"/>
      <c r="F66" s="48"/>
    </row>
    <row r="67" spans="1:6" ht="12.75" customHeight="1">
      <c r="A67" s="79" t="s">
        <v>25</v>
      </c>
      <c r="B67" s="35">
        <f>SUM(C67:F67)</f>
        <v>0</v>
      </c>
      <c r="C67" s="36"/>
      <c r="D67" s="36"/>
      <c r="E67" s="36"/>
      <c r="F67" s="48"/>
    </row>
    <row r="68" spans="1:6" ht="12.75" customHeight="1">
      <c r="A68" s="79" t="s">
        <v>26</v>
      </c>
      <c r="B68" s="35">
        <f>SUM(C68:F68)</f>
        <v>0</v>
      </c>
      <c r="C68" s="36"/>
      <c r="D68" s="36"/>
      <c r="E68" s="36"/>
      <c r="F68" s="48"/>
    </row>
    <row r="69" spans="1:6" ht="12.75" customHeight="1">
      <c r="A69" s="78" t="s">
        <v>0</v>
      </c>
      <c r="B69" s="37">
        <f>SUM(C69:F69)</f>
        <v>6.614437</v>
      </c>
      <c r="C69" s="38">
        <v>3.809182</v>
      </c>
      <c r="D69" s="39">
        <v>0.151888</v>
      </c>
      <c r="E69" s="26">
        <v>1.700894</v>
      </c>
      <c r="F69" s="27">
        <v>0.952473</v>
      </c>
    </row>
    <row r="70" spans="1:6" ht="12.75" customHeight="1">
      <c r="A70" s="78" t="s">
        <v>34</v>
      </c>
      <c r="B70" s="37">
        <f>SUM(C70:F70)</f>
        <v>4.082598</v>
      </c>
      <c r="C70" s="38">
        <f>C71</f>
        <v>3.574827</v>
      </c>
      <c r="D70" s="39">
        <f>D71</f>
        <v>0</v>
      </c>
      <c r="E70" s="39">
        <f>E71</f>
        <v>0.469213</v>
      </c>
      <c r="F70" s="49">
        <f>F71</f>
        <v>0.038558</v>
      </c>
    </row>
    <row r="71" spans="1:6" ht="12.75" customHeight="1">
      <c r="A71" s="79" t="s">
        <v>13</v>
      </c>
      <c r="B71" s="35">
        <f>SUM(C71:F71)</f>
        <v>4.082598</v>
      </c>
      <c r="C71" s="38">
        <v>3.574827</v>
      </c>
      <c r="D71" s="39"/>
      <c r="E71" s="26">
        <v>0.469213</v>
      </c>
      <c r="F71" s="27">
        <v>0.038558</v>
      </c>
    </row>
    <row r="72" spans="1:6" ht="12.75" customHeight="1" thickBot="1">
      <c r="A72" s="80" t="s">
        <v>14</v>
      </c>
      <c r="B72" s="41">
        <f>SUM(C72:F72)</f>
        <v>4.971</v>
      </c>
      <c r="C72" s="42">
        <v>4.29</v>
      </c>
      <c r="D72" s="43"/>
      <c r="E72" s="43">
        <v>0.62</v>
      </c>
      <c r="F72" s="50">
        <v>0.061</v>
      </c>
    </row>
    <row r="73" spans="1:6" ht="12.75" customHeight="1" thickBot="1">
      <c r="A73" s="72" t="s">
        <v>33</v>
      </c>
      <c r="B73" s="44">
        <f>SUM(C73:F73)</f>
        <v>0</v>
      </c>
      <c r="C73" s="45">
        <f>C74+C82+C83</f>
        <v>0</v>
      </c>
      <c r="D73" s="45">
        <f>D74+D82+D83</f>
        <v>0</v>
      </c>
      <c r="E73" s="45">
        <f>E74+E82+E83</f>
        <v>0</v>
      </c>
      <c r="F73" s="46">
        <f>F74+F82+F83</f>
        <v>0</v>
      </c>
    </row>
    <row r="74" spans="1:6" ht="12.75" customHeight="1">
      <c r="A74" s="78" t="s">
        <v>10</v>
      </c>
      <c r="B74" s="17">
        <f aca="true" t="shared" si="4" ref="B74:B85">SUM(C74:F74)</f>
        <v>0</v>
      </c>
      <c r="C74" s="18">
        <f>C75+C76+C77+C78+C79+C80+C81</f>
        <v>0</v>
      </c>
      <c r="D74" s="18">
        <f>D75+D76+D77+D78+D79+D80+D81</f>
        <v>0</v>
      </c>
      <c r="E74" s="18">
        <f>E75+E76+E77+E78+E79+E80+E81</f>
        <v>0</v>
      </c>
      <c r="F74" s="19">
        <f>F75+F76+F77+F78+F79+F80+F81</f>
        <v>0</v>
      </c>
    </row>
    <row r="75" spans="1:6" ht="12.75" customHeight="1">
      <c r="A75" s="79" t="s">
        <v>4</v>
      </c>
      <c r="B75" s="35">
        <f t="shared" si="4"/>
        <v>0</v>
      </c>
      <c r="C75" s="36"/>
      <c r="D75" s="40"/>
      <c r="E75" s="40"/>
      <c r="F75" s="47"/>
    </row>
    <row r="76" spans="1:6" ht="12.75" customHeight="1">
      <c r="A76" s="79" t="s">
        <v>17</v>
      </c>
      <c r="B76" s="35">
        <f t="shared" si="4"/>
        <v>0</v>
      </c>
      <c r="C76" s="36"/>
      <c r="D76" s="40"/>
      <c r="E76" s="40"/>
      <c r="F76" s="47"/>
    </row>
    <row r="77" spans="1:6" ht="12.75" customHeight="1">
      <c r="A77" s="79" t="s">
        <v>5</v>
      </c>
      <c r="B77" s="35">
        <f t="shared" si="4"/>
        <v>0</v>
      </c>
      <c r="C77" s="36"/>
      <c r="D77" s="40"/>
      <c r="E77" s="40"/>
      <c r="F77" s="47"/>
    </row>
    <row r="78" spans="1:6" ht="12.75" customHeight="1">
      <c r="A78" s="79" t="s">
        <v>23</v>
      </c>
      <c r="B78" s="35">
        <f t="shared" si="4"/>
        <v>0</v>
      </c>
      <c r="C78" s="36"/>
      <c r="D78" s="36"/>
      <c r="E78" s="36"/>
      <c r="F78" s="48"/>
    </row>
    <row r="79" spans="1:6" ht="12.75" customHeight="1">
      <c r="A79" s="79" t="s">
        <v>24</v>
      </c>
      <c r="B79" s="35">
        <f t="shared" si="4"/>
        <v>0</v>
      </c>
      <c r="C79" s="36"/>
      <c r="D79" s="36"/>
      <c r="E79" s="36"/>
      <c r="F79" s="48"/>
    </row>
    <row r="80" spans="1:6" ht="12.75" customHeight="1">
      <c r="A80" s="79" t="s">
        <v>25</v>
      </c>
      <c r="B80" s="35">
        <f t="shared" si="4"/>
        <v>0</v>
      </c>
      <c r="C80" s="36"/>
      <c r="D80" s="36"/>
      <c r="E80" s="36"/>
      <c r="F80" s="48"/>
    </row>
    <row r="81" spans="1:6" ht="12.75" customHeight="1">
      <c r="A81" s="79" t="s">
        <v>26</v>
      </c>
      <c r="B81" s="35">
        <f t="shared" si="4"/>
        <v>0</v>
      </c>
      <c r="C81" s="36"/>
      <c r="D81" s="36"/>
      <c r="E81" s="36"/>
      <c r="F81" s="48"/>
    </row>
    <row r="82" spans="1:6" ht="12.75" customHeight="1">
      <c r="A82" s="78" t="s">
        <v>0</v>
      </c>
      <c r="B82" s="37">
        <f t="shared" si="4"/>
        <v>0</v>
      </c>
      <c r="C82" s="38"/>
      <c r="D82" s="39"/>
      <c r="E82" s="26"/>
      <c r="F82" s="27"/>
    </row>
    <row r="83" spans="1:6" ht="12.75" customHeight="1">
      <c r="A83" s="78" t="s">
        <v>12</v>
      </c>
      <c r="B83" s="37">
        <f t="shared" si="4"/>
        <v>0</v>
      </c>
      <c r="C83" s="38">
        <f>C84</f>
        <v>0</v>
      </c>
      <c r="D83" s="39">
        <f>D84</f>
        <v>0</v>
      </c>
      <c r="E83" s="39">
        <f>E84</f>
        <v>0</v>
      </c>
      <c r="F83" s="49">
        <f>F84</f>
        <v>0</v>
      </c>
    </row>
    <row r="84" spans="1:6" ht="12.75" customHeight="1">
      <c r="A84" s="79" t="s">
        <v>13</v>
      </c>
      <c r="B84" s="35">
        <f t="shared" si="4"/>
        <v>0</v>
      </c>
      <c r="C84" s="36"/>
      <c r="D84" s="40"/>
      <c r="E84" s="40"/>
      <c r="F84" s="47"/>
    </row>
    <row r="85" spans="1:6" ht="12.75" customHeight="1" thickBot="1">
      <c r="A85" s="80" t="s">
        <v>14</v>
      </c>
      <c r="B85" s="41">
        <f t="shared" si="4"/>
        <v>0</v>
      </c>
      <c r="C85" s="42"/>
      <c r="D85" s="43"/>
      <c r="E85" s="43"/>
      <c r="F85" s="50"/>
    </row>
    <row r="86" spans="1:6" ht="12.75" customHeight="1" thickBot="1">
      <c r="A86" s="72" t="s">
        <v>35</v>
      </c>
      <c r="B86" s="44">
        <f>SUM(C86:F86)</f>
        <v>2.7936050000000003</v>
      </c>
      <c r="C86" s="45">
        <f>C87+C95+C96</f>
        <v>2.758417</v>
      </c>
      <c r="D86" s="45">
        <f>D87+D95+D96</f>
        <v>0</v>
      </c>
      <c r="E86" s="45">
        <f>E87+E95+E96</f>
        <v>0</v>
      </c>
      <c r="F86" s="46">
        <f>F87+F95+F96</f>
        <v>0.035188</v>
      </c>
    </row>
    <row r="87" spans="1:6" ht="12.75" customHeight="1">
      <c r="A87" s="78" t="s">
        <v>10</v>
      </c>
      <c r="B87" s="17">
        <f aca="true" t="shared" si="5" ref="B87:B142">SUM(C87:F87)</f>
        <v>0</v>
      </c>
      <c r="C87" s="18">
        <f>C88+C89+C90+C91+C92+C93+C94</f>
        <v>0</v>
      </c>
      <c r="D87" s="18">
        <f>D88+D89+D90+D91+D92+D93+D94</f>
        <v>0</v>
      </c>
      <c r="E87" s="18">
        <f>E88+E89+E90+E91+E92+E93+E94</f>
        <v>0</v>
      </c>
      <c r="F87" s="19">
        <f>F88+F89+F90+F91+F92+F93+F94</f>
        <v>0</v>
      </c>
    </row>
    <row r="88" spans="1:6" ht="12.75" customHeight="1">
      <c r="A88" s="79" t="s">
        <v>4</v>
      </c>
      <c r="B88" s="35">
        <f t="shared" si="5"/>
        <v>0</v>
      </c>
      <c r="C88" s="36"/>
      <c r="D88" s="40"/>
      <c r="E88" s="40"/>
      <c r="F88" s="47"/>
    </row>
    <row r="89" spans="1:6" ht="12.75" customHeight="1">
      <c r="A89" s="79" t="s">
        <v>17</v>
      </c>
      <c r="B89" s="35">
        <f t="shared" si="5"/>
        <v>0</v>
      </c>
      <c r="C89" s="36"/>
      <c r="D89" s="40"/>
      <c r="E89" s="40"/>
      <c r="F89" s="47"/>
    </row>
    <row r="90" spans="1:6" ht="12.75" customHeight="1">
      <c r="A90" s="79" t="s">
        <v>5</v>
      </c>
      <c r="B90" s="35">
        <f t="shared" si="5"/>
        <v>0</v>
      </c>
      <c r="C90" s="36"/>
      <c r="D90" s="40"/>
      <c r="E90" s="40"/>
      <c r="F90" s="47"/>
    </row>
    <row r="91" spans="1:6" ht="12.75" customHeight="1">
      <c r="A91" s="79" t="s">
        <v>23</v>
      </c>
      <c r="B91" s="35">
        <f t="shared" si="5"/>
        <v>0</v>
      </c>
      <c r="C91" s="36"/>
      <c r="D91" s="36"/>
      <c r="E91" s="36"/>
      <c r="F91" s="48"/>
    </row>
    <row r="92" spans="1:6" ht="12.75" customHeight="1">
      <c r="A92" s="79" t="s">
        <v>24</v>
      </c>
      <c r="B92" s="35">
        <f t="shared" si="5"/>
        <v>0</v>
      </c>
      <c r="C92" s="36"/>
      <c r="D92" s="36"/>
      <c r="E92" s="36"/>
      <c r="F92" s="48"/>
    </row>
    <row r="93" spans="1:6" ht="12.75" customHeight="1">
      <c r="A93" s="79" t="s">
        <v>25</v>
      </c>
      <c r="B93" s="35">
        <f t="shared" si="5"/>
        <v>0</v>
      </c>
      <c r="C93" s="36"/>
      <c r="D93" s="36"/>
      <c r="E93" s="36"/>
      <c r="F93" s="48"/>
    </row>
    <row r="94" spans="1:6" ht="12.75">
      <c r="A94" s="79" t="s">
        <v>26</v>
      </c>
      <c r="B94" s="35">
        <f t="shared" si="5"/>
        <v>0</v>
      </c>
      <c r="C94" s="36"/>
      <c r="D94" s="36"/>
      <c r="E94" s="36"/>
      <c r="F94" s="48"/>
    </row>
    <row r="95" spans="1:6" ht="13.5">
      <c r="A95" s="78" t="s">
        <v>0</v>
      </c>
      <c r="B95" s="37">
        <f t="shared" si="5"/>
        <v>0.814458</v>
      </c>
      <c r="C95" s="38">
        <v>0.77927</v>
      </c>
      <c r="D95" s="39"/>
      <c r="E95" s="26"/>
      <c r="F95" s="27">
        <v>0.035188</v>
      </c>
    </row>
    <row r="96" spans="1:6" ht="13.5">
      <c r="A96" s="78" t="s">
        <v>12</v>
      </c>
      <c r="B96" s="37">
        <f t="shared" si="5"/>
        <v>1.979147</v>
      </c>
      <c r="C96" s="38">
        <f>C97</f>
        <v>1.979147</v>
      </c>
      <c r="D96" s="39">
        <f>D97</f>
        <v>0</v>
      </c>
      <c r="E96" s="39">
        <f>E97</f>
        <v>0</v>
      </c>
      <c r="F96" s="49">
        <f>F97</f>
        <v>0</v>
      </c>
    </row>
    <row r="97" spans="1:6" ht="12.75">
      <c r="A97" s="79" t="s">
        <v>13</v>
      </c>
      <c r="B97" s="35">
        <f t="shared" si="5"/>
        <v>1.979147</v>
      </c>
      <c r="C97" s="36">
        <v>1.979147</v>
      </c>
      <c r="D97" s="40"/>
      <c r="E97" s="40"/>
      <c r="F97" s="47"/>
    </row>
    <row r="98" spans="1:6" ht="13.5" thickBot="1">
      <c r="A98" s="80" t="s">
        <v>14</v>
      </c>
      <c r="B98" s="41">
        <f t="shared" si="5"/>
        <v>1.333</v>
      </c>
      <c r="C98" s="42">
        <v>1.333</v>
      </c>
      <c r="D98" s="43"/>
      <c r="E98" s="43"/>
      <c r="F98" s="50"/>
    </row>
    <row r="99" spans="1:6" ht="13.5" thickBot="1">
      <c r="A99" s="72" t="s">
        <v>18</v>
      </c>
      <c r="B99" s="44">
        <f t="shared" si="5"/>
        <v>5.439564</v>
      </c>
      <c r="C99" s="45">
        <f>C100+C108+C109</f>
        <v>0.57706</v>
      </c>
      <c r="D99" s="45">
        <f>D100+D108+D109</f>
        <v>0</v>
      </c>
      <c r="E99" s="45">
        <f>E100+E108+E109</f>
        <v>2.123153</v>
      </c>
      <c r="F99" s="46">
        <f>F100+F108+F109</f>
        <v>2.739351</v>
      </c>
    </row>
    <row r="100" spans="1:6" ht="13.5">
      <c r="A100" s="78" t="s">
        <v>10</v>
      </c>
      <c r="B100" s="17">
        <f t="shared" si="5"/>
        <v>2.046799</v>
      </c>
      <c r="C100" s="18">
        <f>C101+C102+C103+C104+C105+C106+C107</f>
        <v>0.054011</v>
      </c>
      <c r="D100" s="18">
        <f>D101+D102+D103+D104+D105+D106+D107</f>
        <v>0</v>
      </c>
      <c r="E100" s="18">
        <f>E101+E102+E103+E104+E105+E106+E107</f>
        <v>0.138736</v>
      </c>
      <c r="F100" s="19">
        <f>F101+F102+F103+F104+F105+F106+F107</f>
        <v>1.854052</v>
      </c>
    </row>
    <row r="101" spans="1:6" ht="12.75">
      <c r="A101" s="79" t="s">
        <v>4</v>
      </c>
      <c r="B101" s="35">
        <f t="shared" si="5"/>
        <v>1.326975</v>
      </c>
      <c r="C101" s="36"/>
      <c r="D101" s="40"/>
      <c r="E101" s="40">
        <v>0.018286</v>
      </c>
      <c r="F101" s="47">
        <v>1.308689</v>
      </c>
    </row>
    <row r="102" spans="1:6" ht="12.75">
      <c r="A102" s="79" t="s">
        <v>17</v>
      </c>
      <c r="B102" s="35">
        <f t="shared" si="5"/>
        <v>0</v>
      </c>
      <c r="C102" s="36"/>
      <c r="D102" s="40"/>
      <c r="E102" s="40"/>
      <c r="F102" s="47"/>
    </row>
    <row r="103" spans="1:6" ht="12.75">
      <c r="A103" s="79" t="s">
        <v>5</v>
      </c>
      <c r="B103" s="35">
        <f t="shared" si="5"/>
        <v>0.542932</v>
      </c>
      <c r="C103" s="36"/>
      <c r="D103" s="40"/>
      <c r="E103" s="40">
        <v>0.005088</v>
      </c>
      <c r="F103" s="47">
        <v>0.537844</v>
      </c>
    </row>
    <row r="104" spans="1:6" ht="12.75">
      <c r="A104" s="79" t="s">
        <v>23</v>
      </c>
      <c r="B104" s="35">
        <f t="shared" si="5"/>
        <v>0</v>
      </c>
      <c r="C104" s="36"/>
      <c r="D104" s="36"/>
      <c r="E104" s="36"/>
      <c r="F104" s="48"/>
    </row>
    <row r="105" spans="1:6" ht="12.75">
      <c r="A105" s="79" t="s">
        <v>24</v>
      </c>
      <c r="B105" s="35">
        <f t="shared" si="5"/>
        <v>0.007519</v>
      </c>
      <c r="C105" s="36"/>
      <c r="D105" s="36"/>
      <c r="E105" s="36"/>
      <c r="F105" s="48">
        <v>0.007519</v>
      </c>
    </row>
    <row r="106" spans="1:6" ht="12.75">
      <c r="A106" s="79" t="s">
        <v>25</v>
      </c>
      <c r="B106" s="35">
        <f t="shared" si="5"/>
        <v>0.169373</v>
      </c>
      <c r="C106" s="36">
        <v>0.054011</v>
      </c>
      <c r="D106" s="36"/>
      <c r="E106" s="36">
        <v>0.115362</v>
      </c>
      <c r="F106" s="48"/>
    </row>
    <row r="107" spans="1:6" ht="12.75">
      <c r="A107" s="79" t="s">
        <v>26</v>
      </c>
      <c r="B107" s="35">
        <f t="shared" si="5"/>
        <v>0</v>
      </c>
      <c r="C107" s="36"/>
      <c r="D107" s="36"/>
      <c r="E107" s="36"/>
      <c r="F107" s="48"/>
    </row>
    <row r="108" spans="1:6" ht="13.5">
      <c r="A108" s="78" t="s">
        <v>0</v>
      </c>
      <c r="B108" s="37">
        <f t="shared" si="5"/>
        <v>3.011745</v>
      </c>
      <c r="C108" s="38">
        <v>0.523049</v>
      </c>
      <c r="D108" s="39"/>
      <c r="E108" s="26">
        <v>1.701134</v>
      </c>
      <c r="F108" s="27">
        <v>0.787562</v>
      </c>
    </row>
    <row r="109" spans="1:6" ht="13.5">
      <c r="A109" s="78" t="s">
        <v>12</v>
      </c>
      <c r="B109" s="37">
        <f t="shared" si="5"/>
        <v>0.38102</v>
      </c>
      <c r="C109" s="38">
        <f>C110</f>
        <v>0</v>
      </c>
      <c r="D109" s="39">
        <f>D110</f>
        <v>0</v>
      </c>
      <c r="E109" s="39">
        <f>E110</f>
        <v>0.283283</v>
      </c>
      <c r="F109" s="49">
        <f>F110</f>
        <v>0.097737</v>
      </c>
    </row>
    <row r="110" spans="1:6" ht="12.75">
      <c r="A110" s="79" t="s">
        <v>13</v>
      </c>
      <c r="B110" s="35">
        <f t="shared" si="5"/>
        <v>0.38102</v>
      </c>
      <c r="C110" s="36"/>
      <c r="D110" s="40"/>
      <c r="E110" s="40">
        <v>0.283283</v>
      </c>
      <c r="F110" s="47">
        <v>0.097737</v>
      </c>
    </row>
    <row r="111" spans="1:6" ht="13.5" thickBot="1">
      <c r="A111" s="80" t="s">
        <v>14</v>
      </c>
      <c r="B111" s="41">
        <f t="shared" si="5"/>
        <v>0.5539999999999999</v>
      </c>
      <c r="C111" s="42"/>
      <c r="D111" s="43"/>
      <c r="E111" s="247">
        <v>0.408</v>
      </c>
      <c r="F111" s="50">
        <v>0.146</v>
      </c>
    </row>
    <row r="112" spans="1:6" ht="13.5" thickBot="1">
      <c r="A112" s="72" t="s">
        <v>28</v>
      </c>
      <c r="B112" s="44">
        <f t="shared" si="5"/>
        <v>2.4277990000000003</v>
      </c>
      <c r="C112" s="45">
        <f>C113+C121+C122</f>
        <v>1.249682</v>
      </c>
      <c r="D112" s="45">
        <f>D113+D121+D122</f>
        <v>0</v>
      </c>
      <c r="E112" s="45">
        <f>E113+E121+E122</f>
        <v>0.678319</v>
      </c>
      <c r="F112" s="46">
        <f>F113+F121+F122</f>
        <v>0.499798</v>
      </c>
    </row>
    <row r="113" spans="1:6" ht="13.5">
      <c r="A113" s="78" t="s">
        <v>10</v>
      </c>
      <c r="B113" s="17">
        <f t="shared" si="5"/>
        <v>0.474211</v>
      </c>
      <c r="C113" s="18">
        <f>C114+C115+C116+C117+C118+C119+C120</f>
        <v>0.000739</v>
      </c>
      <c r="D113" s="18">
        <f>D114+D115+D116+D117+D118+D119+D120</f>
        <v>0</v>
      </c>
      <c r="E113" s="18">
        <f>E114+E115+E116+E117+E118+E119+E120</f>
        <v>0</v>
      </c>
      <c r="F113" s="19">
        <f>F114+F115+F116+F117+F118+F119+F120</f>
        <v>0.473472</v>
      </c>
    </row>
    <row r="114" spans="1:6" ht="12.75">
      <c r="A114" s="79" t="s">
        <v>4</v>
      </c>
      <c r="B114" s="35">
        <f t="shared" si="5"/>
        <v>0.459934</v>
      </c>
      <c r="C114" s="36"/>
      <c r="D114" s="40"/>
      <c r="E114" s="40"/>
      <c r="F114" s="47">
        <v>0.459934</v>
      </c>
    </row>
    <row r="115" spans="1:6" ht="12.75">
      <c r="A115" s="79" t="s">
        <v>17</v>
      </c>
      <c r="B115" s="35">
        <f t="shared" si="5"/>
        <v>0.013538</v>
      </c>
      <c r="C115" s="36"/>
      <c r="D115" s="40"/>
      <c r="E115" s="40"/>
      <c r="F115" s="47">
        <v>0.013538</v>
      </c>
    </row>
    <row r="116" spans="1:6" ht="12.75">
      <c r="A116" s="79" t="s">
        <v>5</v>
      </c>
      <c r="B116" s="35">
        <f t="shared" si="5"/>
        <v>0</v>
      </c>
      <c r="C116" s="36"/>
      <c r="D116" s="40"/>
      <c r="E116" s="40"/>
      <c r="F116" s="47"/>
    </row>
    <row r="117" spans="1:6" ht="12.75">
      <c r="A117" s="79" t="s">
        <v>23</v>
      </c>
      <c r="B117" s="35">
        <f t="shared" si="5"/>
        <v>0</v>
      </c>
      <c r="C117" s="36"/>
      <c r="D117" s="36"/>
      <c r="E117" s="36"/>
      <c r="F117" s="48"/>
    </row>
    <row r="118" spans="1:6" ht="12.75">
      <c r="A118" s="79" t="s">
        <v>24</v>
      </c>
      <c r="B118" s="35">
        <f t="shared" si="5"/>
        <v>0</v>
      </c>
      <c r="C118" s="36"/>
      <c r="D118" s="36"/>
      <c r="E118" s="36"/>
      <c r="F118" s="48"/>
    </row>
    <row r="119" spans="1:6" ht="12.75">
      <c r="A119" s="79" t="s">
        <v>25</v>
      </c>
      <c r="B119" s="35">
        <f t="shared" si="5"/>
        <v>0</v>
      </c>
      <c r="C119" s="36"/>
      <c r="D119" s="36"/>
      <c r="E119" s="36"/>
      <c r="F119" s="48"/>
    </row>
    <row r="120" spans="1:6" ht="12.75">
      <c r="A120" s="79" t="s">
        <v>26</v>
      </c>
      <c r="B120" s="35">
        <f t="shared" si="5"/>
        <v>0.000739</v>
      </c>
      <c r="C120" s="36">
        <v>0.000739</v>
      </c>
      <c r="D120" s="36"/>
      <c r="E120" s="36"/>
      <c r="F120" s="48"/>
    </row>
    <row r="121" spans="1:6" ht="13.5">
      <c r="A121" s="78" t="s">
        <v>0</v>
      </c>
      <c r="B121" s="37">
        <f t="shared" si="5"/>
        <v>1.9251809999999998</v>
      </c>
      <c r="C121" s="38">
        <v>1.248943</v>
      </c>
      <c r="D121" s="39"/>
      <c r="E121" s="26">
        <v>0.65641</v>
      </c>
      <c r="F121" s="27">
        <v>0.019828</v>
      </c>
    </row>
    <row r="122" spans="1:6" ht="13.5">
      <c r="A122" s="78" t="s">
        <v>12</v>
      </c>
      <c r="B122" s="37">
        <f t="shared" si="5"/>
        <v>0.028407</v>
      </c>
      <c r="C122" s="38"/>
      <c r="D122" s="39">
        <f>D123</f>
        <v>0</v>
      </c>
      <c r="E122" s="39">
        <f>E123</f>
        <v>0.021909</v>
      </c>
      <c r="F122" s="49">
        <f>F123</f>
        <v>0.006498</v>
      </c>
    </row>
    <row r="123" spans="1:6" ht="12.75">
      <c r="A123" s="79" t="s">
        <v>13</v>
      </c>
      <c r="B123" s="35">
        <f t="shared" si="5"/>
        <v>0.028407</v>
      </c>
      <c r="C123" s="36"/>
      <c r="D123" s="40"/>
      <c r="E123" s="40">
        <v>0.021909</v>
      </c>
      <c r="F123" s="47">
        <v>0.006498</v>
      </c>
    </row>
    <row r="124" spans="1:6" ht="13.5" thickBot="1">
      <c r="A124" s="80" t="s">
        <v>14</v>
      </c>
      <c r="B124" s="41">
        <f t="shared" si="5"/>
        <v>0.05499999999999999</v>
      </c>
      <c r="C124" s="42"/>
      <c r="D124" s="43"/>
      <c r="E124" s="43">
        <v>0.044</v>
      </c>
      <c r="F124" s="50">
        <v>0.011</v>
      </c>
    </row>
    <row r="125" spans="1:6" ht="13.5" thickBot="1">
      <c r="A125" s="72" t="s">
        <v>19</v>
      </c>
      <c r="B125" s="44">
        <f t="shared" si="5"/>
        <v>3.659248</v>
      </c>
      <c r="C125" s="45">
        <f>C126+C134+C135</f>
        <v>1.9624409999999999</v>
      </c>
      <c r="D125" s="45">
        <f>D126+D134+D135</f>
        <v>0</v>
      </c>
      <c r="E125" s="45">
        <f>E126+E134+E135</f>
        <v>0.9935720000000001</v>
      </c>
      <c r="F125" s="46">
        <f>F126+F134+F135</f>
        <v>0.703235</v>
      </c>
    </row>
    <row r="126" spans="1:6" ht="13.5">
      <c r="A126" s="78" t="s">
        <v>10</v>
      </c>
      <c r="B126" s="17">
        <f t="shared" si="5"/>
        <v>0.47677499999999995</v>
      </c>
      <c r="C126" s="18">
        <f>C127+C128+C129+C130+C131+C132+C133</f>
        <v>0</v>
      </c>
      <c r="D126" s="18">
        <f>D127+D128+D129+D130+D131+D132+D133</f>
        <v>0</v>
      </c>
      <c r="E126" s="18">
        <f>E127+E128+E129+E130+E131+E132+E133</f>
        <v>0.07479</v>
      </c>
      <c r="F126" s="19">
        <f>F127+F128+F129+F130+F131+F132+F133</f>
        <v>0.401985</v>
      </c>
    </row>
    <row r="127" spans="1:6" ht="12.75">
      <c r="A127" s="79" t="s">
        <v>4</v>
      </c>
      <c r="B127" s="35">
        <f t="shared" si="5"/>
        <v>0.148337</v>
      </c>
      <c r="C127" s="36"/>
      <c r="D127" s="40"/>
      <c r="E127" s="40">
        <v>0.041085</v>
      </c>
      <c r="F127" s="47">
        <v>0.107252</v>
      </c>
    </row>
    <row r="128" spans="1:6" ht="12.75">
      <c r="A128" s="79" t="s">
        <v>17</v>
      </c>
      <c r="B128" s="35">
        <f t="shared" si="5"/>
        <v>0.040266</v>
      </c>
      <c r="C128" s="36"/>
      <c r="D128" s="40"/>
      <c r="E128" s="40">
        <v>0.029576</v>
      </c>
      <c r="F128" s="47">
        <v>0.01069</v>
      </c>
    </row>
    <row r="129" spans="1:6" ht="12.75">
      <c r="A129" s="79" t="s">
        <v>5</v>
      </c>
      <c r="B129" s="35">
        <f t="shared" si="5"/>
        <v>0.287745</v>
      </c>
      <c r="C129" s="36"/>
      <c r="D129" s="40"/>
      <c r="E129" s="40">
        <v>0.003702</v>
      </c>
      <c r="F129" s="47">
        <v>0.284043</v>
      </c>
    </row>
    <row r="130" spans="1:6" ht="12.75">
      <c r="A130" s="79" t="s">
        <v>23</v>
      </c>
      <c r="B130" s="35">
        <f t="shared" si="5"/>
        <v>0</v>
      </c>
      <c r="C130" s="36"/>
      <c r="D130" s="36"/>
      <c r="E130" s="36"/>
      <c r="F130" s="48"/>
    </row>
    <row r="131" spans="1:6" ht="12.75">
      <c r="A131" s="79" t="s">
        <v>24</v>
      </c>
      <c r="B131" s="35">
        <f t="shared" si="5"/>
        <v>5.5E-05</v>
      </c>
      <c r="C131" s="36"/>
      <c r="D131" s="36"/>
      <c r="E131" s="36">
        <v>5.5E-05</v>
      </c>
      <c r="F131" s="48"/>
    </row>
    <row r="132" spans="1:6" ht="12.75">
      <c r="A132" s="79" t="s">
        <v>25</v>
      </c>
      <c r="B132" s="35">
        <f t="shared" si="5"/>
        <v>0</v>
      </c>
      <c r="C132" s="36"/>
      <c r="D132" s="36"/>
      <c r="E132" s="36"/>
      <c r="F132" s="48"/>
    </row>
    <row r="133" spans="1:6" ht="12.75">
      <c r="A133" s="79" t="s">
        <v>26</v>
      </c>
      <c r="B133" s="35">
        <f t="shared" si="5"/>
        <v>0.000372</v>
      </c>
      <c r="C133" s="36"/>
      <c r="D133" s="36"/>
      <c r="E133" s="36">
        <v>0.000372</v>
      </c>
      <c r="F133" s="48"/>
    </row>
    <row r="134" spans="1:6" ht="13.5">
      <c r="A134" s="78" t="s">
        <v>0</v>
      </c>
      <c r="B134" s="37">
        <f t="shared" si="5"/>
        <v>2.673212</v>
      </c>
      <c r="C134" s="38">
        <v>1.769499</v>
      </c>
      <c r="D134" s="39"/>
      <c r="E134" s="26">
        <v>0.677428</v>
      </c>
      <c r="F134" s="27">
        <v>0.226285</v>
      </c>
    </row>
    <row r="135" spans="1:6" ht="13.5">
      <c r="A135" s="78" t="s">
        <v>12</v>
      </c>
      <c r="B135" s="37">
        <f t="shared" si="5"/>
        <v>0.509261</v>
      </c>
      <c r="C135" s="38">
        <f>C136</f>
        <v>0.192942</v>
      </c>
      <c r="D135" s="39">
        <f>D136</f>
        <v>0</v>
      </c>
      <c r="E135" s="39">
        <f>E136</f>
        <v>0.241354</v>
      </c>
      <c r="F135" s="49">
        <f>F136</f>
        <v>0.074965</v>
      </c>
    </row>
    <row r="136" spans="1:6" ht="12.75">
      <c r="A136" s="79" t="s">
        <v>13</v>
      </c>
      <c r="B136" s="35">
        <f t="shared" si="5"/>
        <v>0.509261</v>
      </c>
      <c r="C136" s="36">
        <v>0.192942</v>
      </c>
      <c r="D136" s="40"/>
      <c r="E136" s="36">
        <v>0.241354</v>
      </c>
      <c r="F136" s="47">
        <v>0.074965</v>
      </c>
    </row>
    <row r="137" spans="1:6" ht="13.5" thickBot="1">
      <c r="A137" s="80" t="s">
        <v>14</v>
      </c>
      <c r="B137" s="41">
        <f t="shared" si="5"/>
        <v>0.819</v>
      </c>
      <c r="C137" s="42">
        <v>0.318</v>
      </c>
      <c r="D137" s="43"/>
      <c r="E137" s="42">
        <v>0.382</v>
      </c>
      <c r="F137" s="50">
        <v>0.119</v>
      </c>
    </row>
    <row r="138" spans="1:6" ht="13.5" thickBot="1">
      <c r="A138" s="72" t="s">
        <v>20</v>
      </c>
      <c r="B138" s="44">
        <f t="shared" si="5"/>
        <v>0.712933</v>
      </c>
      <c r="C138" s="45">
        <f>C139+C147+C148</f>
        <v>0</v>
      </c>
      <c r="D138" s="45">
        <f>D139+D147+D148</f>
        <v>0</v>
      </c>
      <c r="E138" s="45">
        <f>E139+E147+E148</f>
        <v>0.31971700000000003</v>
      </c>
      <c r="F138" s="46">
        <f>F139+F147</f>
        <v>0.393216</v>
      </c>
    </row>
    <row r="139" spans="1:6" ht="13.5">
      <c r="A139" s="78" t="s">
        <v>10</v>
      </c>
      <c r="B139" s="17">
        <f t="shared" si="5"/>
        <v>0.277303</v>
      </c>
      <c r="C139" s="18">
        <f>C140+C141+C142+C143+C144+C145+C146</f>
        <v>0</v>
      </c>
      <c r="D139" s="18">
        <f>D140+D141+D142+D143+D144+D145+D146</f>
        <v>0</v>
      </c>
      <c r="E139" s="18">
        <f>E140+E141+E142+E143+E144+E145+E146</f>
        <v>0</v>
      </c>
      <c r="F139" s="19">
        <f>F140+F141+F142+F143+F144+F145+F146</f>
        <v>0.277303</v>
      </c>
    </row>
    <row r="140" spans="1:6" ht="12.75">
      <c r="A140" s="79" t="s">
        <v>4</v>
      </c>
      <c r="B140" s="35">
        <f t="shared" si="5"/>
        <v>0.225188</v>
      </c>
      <c r="C140" s="36"/>
      <c r="D140" s="36"/>
      <c r="E140" s="36"/>
      <c r="F140" s="48">
        <v>0.225188</v>
      </c>
    </row>
    <row r="141" spans="1:6" ht="12.75">
      <c r="A141" s="79" t="s">
        <v>17</v>
      </c>
      <c r="B141" s="35">
        <f t="shared" si="5"/>
        <v>0</v>
      </c>
      <c r="C141" s="36"/>
      <c r="D141" s="36"/>
      <c r="E141" s="36"/>
      <c r="F141" s="48"/>
    </row>
    <row r="142" spans="1:6" ht="12.75">
      <c r="A142" s="79" t="s">
        <v>5</v>
      </c>
      <c r="B142" s="35">
        <f t="shared" si="5"/>
        <v>0.052115</v>
      </c>
      <c r="C142" s="36"/>
      <c r="D142" s="36"/>
      <c r="E142" s="36"/>
      <c r="F142" s="48">
        <v>0.052115</v>
      </c>
    </row>
    <row r="143" spans="1:6" ht="12.75">
      <c r="A143" s="79" t="s">
        <v>23</v>
      </c>
      <c r="B143" s="35">
        <f>SUM(C143:F143)</f>
        <v>0</v>
      </c>
      <c r="C143" s="36"/>
      <c r="D143" s="36"/>
      <c r="E143" s="36"/>
      <c r="F143" s="48"/>
    </row>
    <row r="144" spans="1:6" ht="12.75">
      <c r="A144" s="79" t="s">
        <v>24</v>
      </c>
      <c r="B144" s="35">
        <f>SUM(C144:F144)</f>
        <v>0</v>
      </c>
      <c r="C144" s="36"/>
      <c r="D144" s="36"/>
      <c r="E144" s="36"/>
      <c r="F144" s="48"/>
    </row>
    <row r="145" spans="1:6" ht="12.75">
      <c r="A145" s="79" t="s">
        <v>25</v>
      </c>
      <c r="B145" s="35">
        <f>SUM(C145:F145)</f>
        <v>0</v>
      </c>
      <c r="C145" s="36"/>
      <c r="D145" s="36"/>
      <c r="E145" s="36"/>
      <c r="F145" s="48"/>
    </row>
    <row r="146" spans="1:6" ht="12.75">
      <c r="A146" s="79" t="s">
        <v>26</v>
      </c>
      <c r="B146" s="35">
        <f>SUM(C146:F146)</f>
        <v>0</v>
      </c>
      <c r="C146" s="36"/>
      <c r="D146" s="36"/>
      <c r="E146" s="36"/>
      <c r="F146" s="48"/>
    </row>
    <row r="147" spans="1:6" ht="13.5">
      <c r="A147" s="78" t="s">
        <v>0</v>
      </c>
      <c r="B147" s="23">
        <f>SUM(C147:F147)</f>
        <v>0.309729</v>
      </c>
      <c r="C147" s="36"/>
      <c r="D147" s="24"/>
      <c r="E147" s="24">
        <v>0.193816</v>
      </c>
      <c r="F147" s="25">
        <v>0.115913</v>
      </c>
    </row>
    <row r="148" spans="1:6" ht="13.5">
      <c r="A148" s="78" t="s">
        <v>12</v>
      </c>
      <c r="B148" s="37">
        <f>SUM(C148:F148)</f>
        <v>0.125901</v>
      </c>
      <c r="C148" s="38">
        <f>C149</f>
        <v>0</v>
      </c>
      <c r="D148" s="39">
        <f>D149</f>
        <v>0</v>
      </c>
      <c r="E148" s="39">
        <f>E149</f>
        <v>0.125901</v>
      </c>
      <c r="F148" s="49">
        <f>F149</f>
        <v>0</v>
      </c>
    </row>
    <row r="149" spans="1:6" ht="12.75">
      <c r="A149" s="79" t="s">
        <v>13</v>
      </c>
      <c r="B149" s="35">
        <f>SUM(C149:F149)</f>
        <v>0.125901</v>
      </c>
      <c r="C149" s="36"/>
      <c r="D149" s="40"/>
      <c r="E149" s="40">
        <v>0.125901</v>
      </c>
      <c r="F149" s="47"/>
    </row>
    <row r="150" spans="1:6" ht="13.5" thickBot="1">
      <c r="A150" s="80" t="s">
        <v>14</v>
      </c>
      <c r="B150" s="41">
        <f>SUM(C150:F150)</f>
        <v>0.176</v>
      </c>
      <c r="C150" s="42"/>
      <c r="D150" s="43"/>
      <c r="E150" s="43">
        <v>0.176</v>
      </c>
      <c r="F150" s="50"/>
    </row>
    <row r="151" spans="1:6" ht="13.5" thickBot="1">
      <c r="A151" s="72" t="s">
        <v>21</v>
      </c>
      <c r="B151" s="141">
        <f>SUM(C151:F151)</f>
        <v>2.268435</v>
      </c>
      <c r="C151" s="142">
        <f>C152+C160+C161</f>
        <v>0</v>
      </c>
      <c r="D151" s="142">
        <f>D152+D160+D161</f>
        <v>0</v>
      </c>
      <c r="E151" s="142">
        <f>E152+E160+E161</f>
        <v>1.384827</v>
      </c>
      <c r="F151" s="143">
        <f>F152+F160+F161</f>
        <v>0.8836080000000001</v>
      </c>
    </row>
    <row r="152" spans="1:6" ht="13.5">
      <c r="A152" s="78" t="s">
        <v>10</v>
      </c>
      <c r="B152" s="159">
        <f>SUM(C152:F152)</f>
        <v>1.0058610000000001</v>
      </c>
      <c r="C152" s="160">
        <f>C153+C154+C155+C156+C157+C158+C159</f>
        <v>0</v>
      </c>
      <c r="D152" s="160">
        <f>D153+D154+D155+D156+D157+D158+D159</f>
        <v>0</v>
      </c>
      <c r="E152" s="160">
        <f>E153+E154+E155+E156+E157+E158+E159</f>
        <v>0.373338</v>
      </c>
      <c r="F152" s="166">
        <f>F153+F154+F155+F156+F157+F158+F159</f>
        <v>0.6325230000000001</v>
      </c>
    </row>
    <row r="153" spans="1:6" ht="12.75">
      <c r="A153" s="79" t="s">
        <v>4</v>
      </c>
      <c r="B153" s="148">
        <f>SUM(C153:F153)</f>
        <v>0.585932</v>
      </c>
      <c r="C153" s="149"/>
      <c r="D153" s="150"/>
      <c r="E153" s="150">
        <v>0.200186</v>
      </c>
      <c r="F153" s="151">
        <v>0.385746</v>
      </c>
    </row>
    <row r="154" spans="1:6" ht="12.75">
      <c r="A154" s="79" t="s">
        <v>17</v>
      </c>
      <c r="B154" s="148">
        <f>SUM(C154:F154)</f>
        <v>0.249376</v>
      </c>
      <c r="C154" s="149"/>
      <c r="D154" s="150"/>
      <c r="E154" s="150">
        <v>0.171824</v>
      </c>
      <c r="F154" s="151">
        <v>0.077552</v>
      </c>
    </row>
    <row r="155" spans="1:6" ht="12.75">
      <c r="A155" s="79" t="s">
        <v>5</v>
      </c>
      <c r="B155" s="148">
        <f>SUM(C155:F155)</f>
        <v>0.167083</v>
      </c>
      <c r="C155" s="149"/>
      <c r="D155" s="150"/>
      <c r="E155" s="150"/>
      <c r="F155" s="151">
        <v>0.167083</v>
      </c>
    </row>
    <row r="156" spans="1:6" ht="12.75">
      <c r="A156" s="79" t="s">
        <v>23</v>
      </c>
      <c r="B156" s="148">
        <f>SUM(C156:F156)</f>
        <v>0</v>
      </c>
      <c r="C156" s="149"/>
      <c r="D156" s="149"/>
      <c r="E156" s="149"/>
      <c r="F156" s="152"/>
    </row>
    <row r="157" spans="1:6" ht="12.75">
      <c r="A157" s="79" t="s">
        <v>24</v>
      </c>
      <c r="B157" s="148">
        <f>SUM(C157:F157)</f>
        <v>0.00182</v>
      </c>
      <c r="C157" s="149"/>
      <c r="D157" s="149"/>
      <c r="E157" s="149"/>
      <c r="F157" s="152">
        <v>0.00182</v>
      </c>
    </row>
    <row r="158" spans="1:6" ht="12.75">
      <c r="A158" s="79" t="s">
        <v>25</v>
      </c>
      <c r="B158" s="148">
        <f>SUM(C158:F158)</f>
        <v>0</v>
      </c>
      <c r="C158" s="149"/>
      <c r="D158" s="149"/>
      <c r="E158" s="149"/>
      <c r="F158" s="152"/>
    </row>
    <row r="159" spans="1:6" ht="12.75">
      <c r="A159" s="79" t="s">
        <v>26</v>
      </c>
      <c r="B159" s="148">
        <f>SUM(C159:F159)</f>
        <v>0.00165</v>
      </c>
      <c r="C159" s="149"/>
      <c r="D159" s="149"/>
      <c r="E159" s="149">
        <v>0.001328</v>
      </c>
      <c r="F159" s="152">
        <v>0.000322</v>
      </c>
    </row>
    <row r="160" spans="1:6" ht="13.5">
      <c r="A160" s="78" t="s">
        <v>0</v>
      </c>
      <c r="B160" s="144">
        <f>SUM(C160:F160)</f>
        <v>0.9485250000000001</v>
      </c>
      <c r="C160" s="145"/>
      <c r="D160" s="146"/>
      <c r="E160" s="153">
        <v>0.761333</v>
      </c>
      <c r="F160" s="154">
        <v>0.187192</v>
      </c>
    </row>
    <row r="161" spans="1:6" ht="13.5">
      <c r="A161" s="78" t="s">
        <v>12</v>
      </c>
      <c r="B161" s="144">
        <f>SUM(C161:F161)</f>
        <v>0.314049</v>
      </c>
      <c r="C161" s="145">
        <f>C162</f>
        <v>0</v>
      </c>
      <c r="D161" s="146">
        <f>D162</f>
        <v>0</v>
      </c>
      <c r="E161" s="146">
        <f>E162</f>
        <v>0.250156</v>
      </c>
      <c r="F161" s="147">
        <f>F162</f>
        <v>0.063893</v>
      </c>
    </row>
    <row r="162" spans="1:6" ht="12.75">
      <c r="A162" s="79" t="s">
        <v>13</v>
      </c>
      <c r="B162" s="148">
        <f>SUM(C162:F162)</f>
        <v>0.314049</v>
      </c>
      <c r="C162" s="149"/>
      <c r="D162" s="150"/>
      <c r="E162" s="150">
        <v>0.250156</v>
      </c>
      <c r="F162" s="151">
        <v>0.063893</v>
      </c>
    </row>
    <row r="163" spans="1:6" ht="13.5" thickBot="1">
      <c r="A163" s="80" t="s">
        <v>14</v>
      </c>
      <c r="B163" s="155">
        <f>SUM(C163:F163)</f>
        <v>0.43699999999999994</v>
      </c>
      <c r="C163" s="156"/>
      <c r="D163" s="157"/>
      <c r="E163" s="157">
        <v>0.346</v>
      </c>
      <c r="F163" s="158">
        <v>0.091</v>
      </c>
    </row>
    <row r="164" spans="1:6" ht="13.5" thickBot="1">
      <c r="A164" s="72" t="s">
        <v>22</v>
      </c>
      <c r="B164" s="44">
        <f>SUM(C164:F164)</f>
        <v>2.6997910000000003</v>
      </c>
      <c r="C164" s="45">
        <f>C165+C173+C174</f>
        <v>0</v>
      </c>
      <c r="D164" s="45">
        <f>D165+D173+D174</f>
        <v>0</v>
      </c>
      <c r="E164" s="45">
        <f>E165+E173+E174</f>
        <v>1.605686</v>
      </c>
      <c r="F164" s="46">
        <f>F165+F173+F174</f>
        <v>1.094105</v>
      </c>
    </row>
    <row r="165" spans="1:6" ht="13.5">
      <c r="A165" s="78" t="s">
        <v>10</v>
      </c>
      <c r="B165" s="17">
        <f>SUM(C165:F165)</f>
        <v>1.626459</v>
      </c>
      <c r="C165" s="18">
        <f>C166+C167+C168+C169+C170+C171+C172</f>
        <v>0</v>
      </c>
      <c r="D165" s="18">
        <f>D166+D167+D168+D169+D170+D171+D172</f>
        <v>0</v>
      </c>
      <c r="E165" s="18">
        <f>E166+E167+E168+E169+E170+E171+E172</f>
        <v>0.731309</v>
      </c>
      <c r="F165" s="19">
        <f>F166+F167+F168+F169+F170+F171+F172</f>
        <v>0.8951500000000001</v>
      </c>
    </row>
    <row r="166" spans="1:6" ht="13.5">
      <c r="A166" s="78" t="s">
        <v>4</v>
      </c>
      <c r="B166" s="35">
        <f>SUM(C166:F166)</f>
        <v>1.141742</v>
      </c>
      <c r="C166" s="36"/>
      <c r="D166" s="40"/>
      <c r="E166" s="40">
        <v>0.466194</v>
      </c>
      <c r="F166" s="47">
        <v>0.675548</v>
      </c>
    </row>
    <row r="167" spans="1:6" ht="13.5">
      <c r="A167" s="78" t="s">
        <v>17</v>
      </c>
      <c r="B167" s="35">
        <f>SUM(C167:F167)</f>
        <v>0.42451099999999997</v>
      </c>
      <c r="C167" s="36"/>
      <c r="D167" s="40"/>
      <c r="E167" s="40">
        <v>0.250482</v>
      </c>
      <c r="F167" s="47">
        <v>0.174029</v>
      </c>
    </row>
    <row r="168" spans="1:6" ht="13.5">
      <c r="A168" s="78" t="s">
        <v>5</v>
      </c>
      <c r="B168" s="35">
        <f>SUM(C168:F168)</f>
        <v>0.052972000000000005</v>
      </c>
      <c r="C168" s="36"/>
      <c r="D168" s="40"/>
      <c r="E168" s="40">
        <v>0.008072</v>
      </c>
      <c r="F168" s="47">
        <v>0.0449</v>
      </c>
    </row>
    <row r="169" spans="1:6" ht="12.75">
      <c r="A169" s="79" t="s">
        <v>23</v>
      </c>
      <c r="B169" s="35">
        <f>SUM(C169:F169)</f>
        <v>0</v>
      </c>
      <c r="C169" s="36"/>
      <c r="D169" s="36"/>
      <c r="E169" s="36"/>
      <c r="F169" s="48"/>
    </row>
    <row r="170" spans="1:6" ht="12.75">
      <c r="A170" s="79" t="s">
        <v>24</v>
      </c>
      <c r="B170" s="35">
        <f>SUM(C170:F170)</f>
        <v>0.006167</v>
      </c>
      <c r="C170" s="36"/>
      <c r="D170" s="36"/>
      <c r="E170" s="36">
        <v>0.006167</v>
      </c>
      <c r="F170" s="48"/>
    </row>
    <row r="171" spans="1:6" ht="12.75">
      <c r="A171" s="79" t="s">
        <v>25</v>
      </c>
      <c r="B171" s="35">
        <f>SUM(C171:F171)</f>
        <v>0</v>
      </c>
      <c r="C171" s="36"/>
      <c r="D171" s="36"/>
      <c r="E171" s="36"/>
      <c r="F171" s="48"/>
    </row>
    <row r="172" spans="1:6" ht="12.75">
      <c r="A172" s="79" t="s">
        <v>26</v>
      </c>
      <c r="B172" s="35">
        <f>SUM(C172:F172)</f>
        <v>0.001067</v>
      </c>
      <c r="C172" s="36"/>
      <c r="D172" s="36"/>
      <c r="E172" s="36">
        <v>0.000394</v>
      </c>
      <c r="F172" s="48">
        <v>0.000673</v>
      </c>
    </row>
    <row r="173" spans="1:6" ht="13.5">
      <c r="A173" s="78" t="s">
        <v>0</v>
      </c>
      <c r="B173" s="37">
        <f>SUM(C173:F173)</f>
        <v>0.9686699999999999</v>
      </c>
      <c r="C173" s="38"/>
      <c r="D173" s="39"/>
      <c r="E173" s="26">
        <v>0.836591</v>
      </c>
      <c r="F173" s="27">
        <v>0.132079</v>
      </c>
    </row>
    <row r="174" spans="1:6" ht="13.5">
      <c r="A174" s="78" t="s">
        <v>12</v>
      </c>
      <c r="B174" s="37">
        <f>SUM(C174:F174)</f>
        <v>0.104662</v>
      </c>
      <c r="C174" s="38">
        <f>C175</f>
        <v>0</v>
      </c>
      <c r="D174" s="39">
        <f>D175</f>
        <v>0</v>
      </c>
      <c r="E174" s="39">
        <f>E175</f>
        <v>0.037786</v>
      </c>
      <c r="F174" s="49">
        <f>F175</f>
        <v>0.066876</v>
      </c>
    </row>
    <row r="175" spans="1:6" ht="12.75">
      <c r="A175" s="79" t="s">
        <v>13</v>
      </c>
      <c r="B175" s="35">
        <f>SUM(C175:F175)</f>
        <v>0.104662</v>
      </c>
      <c r="C175" s="36"/>
      <c r="D175" s="40"/>
      <c r="E175" s="40">
        <v>0.037786</v>
      </c>
      <c r="F175" s="47">
        <v>0.066876</v>
      </c>
    </row>
    <row r="176" spans="1:6" ht="13.5" thickBot="1">
      <c r="A176" s="80" t="s">
        <v>14</v>
      </c>
      <c r="B176" s="41">
        <f>SUM(C176:F176)</f>
        <v>0.201</v>
      </c>
      <c r="C176" s="42"/>
      <c r="D176" s="43"/>
      <c r="E176" s="43">
        <v>0.069</v>
      </c>
      <c r="F176" s="50">
        <v>0.132</v>
      </c>
    </row>
    <row r="177" spans="1:6" ht="13.5" thickBot="1">
      <c r="A177" s="72" t="s">
        <v>36</v>
      </c>
      <c r="B177" s="44">
        <f>SUM(C177:F177)</f>
        <v>5.673991</v>
      </c>
      <c r="C177" s="45">
        <f>C178+C186+C187</f>
        <v>0</v>
      </c>
      <c r="D177" s="45">
        <f>D178+D186+D187</f>
        <v>0</v>
      </c>
      <c r="E177" s="45">
        <f>E178+E186+E187</f>
        <v>1.094921</v>
      </c>
      <c r="F177" s="46">
        <f>F178+F186+F187</f>
        <v>4.57907</v>
      </c>
    </row>
    <row r="178" spans="1:6" ht="13.5">
      <c r="A178" s="78" t="s">
        <v>10</v>
      </c>
      <c r="B178" s="17">
        <f>SUM(C178:F178)</f>
        <v>3.564</v>
      </c>
      <c r="C178" s="18">
        <f>C179+C180+C181+C182+C183+C184+C185</f>
        <v>0</v>
      </c>
      <c r="D178" s="18">
        <f>D179+D180+D181+D182+D183+D184+D185</f>
        <v>0</v>
      </c>
      <c r="E178" s="18">
        <f>E179+E180+E181+E182+E183+E184+E185</f>
        <v>0.029941999999999996</v>
      </c>
      <c r="F178" s="19">
        <f>F179+F180+F181+F182+F183+F184+F185</f>
        <v>3.534058</v>
      </c>
    </row>
    <row r="179" spans="1:6" ht="12.75">
      <c r="A179" s="79" t="s">
        <v>4</v>
      </c>
      <c r="B179" s="35">
        <f>SUM(C179:F179)</f>
        <v>0.355269</v>
      </c>
      <c r="C179" s="36"/>
      <c r="D179" s="40"/>
      <c r="E179" s="40">
        <v>0.00404</v>
      </c>
      <c r="F179" s="47">
        <v>0.351229</v>
      </c>
    </row>
    <row r="180" spans="1:6" ht="12.75">
      <c r="A180" s="79" t="s">
        <v>17</v>
      </c>
      <c r="B180" s="35">
        <f>SUM(C180:F180)</f>
        <v>0</v>
      </c>
      <c r="C180" s="36"/>
      <c r="D180" s="40"/>
      <c r="E180" s="40"/>
      <c r="F180" s="47"/>
    </row>
    <row r="181" spans="1:6" ht="12.75">
      <c r="A181" s="79" t="s">
        <v>5</v>
      </c>
      <c r="B181" s="35">
        <f>SUM(C181:F181)</f>
        <v>3.199772</v>
      </c>
      <c r="C181" s="36"/>
      <c r="D181" s="40"/>
      <c r="E181" s="40">
        <v>0.019403</v>
      </c>
      <c r="F181" s="47">
        <v>3.180369</v>
      </c>
    </row>
    <row r="182" spans="1:6" ht="12.75">
      <c r="A182" s="79" t="s">
        <v>23</v>
      </c>
      <c r="B182" s="35">
        <f>SUM(C182:F182)</f>
        <v>0</v>
      </c>
      <c r="C182" s="36"/>
      <c r="D182" s="36"/>
      <c r="E182" s="36"/>
      <c r="F182" s="48"/>
    </row>
    <row r="183" spans="1:6" ht="12.75">
      <c r="A183" s="79" t="s">
        <v>24</v>
      </c>
      <c r="B183" s="35">
        <f>SUM(C183:F183)</f>
        <v>0.008959</v>
      </c>
      <c r="C183" s="36"/>
      <c r="D183" s="36"/>
      <c r="E183" s="36">
        <v>0.006499</v>
      </c>
      <c r="F183" s="48">
        <v>0.00246</v>
      </c>
    </row>
    <row r="184" spans="1:6" ht="12.75">
      <c r="A184" s="79" t="s">
        <v>25</v>
      </c>
      <c r="B184" s="35">
        <f>SUM(C184:F184)</f>
        <v>0</v>
      </c>
      <c r="C184" s="36"/>
      <c r="D184" s="36"/>
      <c r="E184" s="36"/>
      <c r="F184" s="48"/>
    </row>
    <row r="185" spans="1:6" ht="12.75">
      <c r="A185" s="79" t="s">
        <v>26</v>
      </c>
      <c r="B185" s="35">
        <f>SUM(C185:F185)</f>
        <v>0</v>
      </c>
      <c r="C185" s="36"/>
      <c r="D185" s="36"/>
      <c r="E185" s="36"/>
      <c r="F185" s="48"/>
    </row>
    <row r="186" spans="1:6" ht="13.5">
      <c r="A186" s="78" t="s">
        <v>0</v>
      </c>
      <c r="B186" s="37">
        <f>SUM(C186:F186)</f>
        <v>1.900914</v>
      </c>
      <c r="C186" s="38"/>
      <c r="D186" s="39"/>
      <c r="E186" s="26">
        <v>0.966491</v>
      </c>
      <c r="F186" s="27">
        <v>0.934423</v>
      </c>
    </row>
    <row r="187" spans="1:6" ht="13.5">
      <c r="A187" s="82" t="s">
        <v>12</v>
      </c>
      <c r="B187" s="23">
        <f>SUM(C187:F187)</f>
        <v>0.209077</v>
      </c>
      <c r="C187" s="24">
        <f>C188</f>
        <v>0</v>
      </c>
      <c r="D187" s="26">
        <f>D188</f>
        <v>0</v>
      </c>
      <c r="E187" s="26">
        <f>E188</f>
        <v>0.098488</v>
      </c>
      <c r="F187" s="27">
        <f>F188</f>
        <v>0.110589</v>
      </c>
    </row>
    <row r="188" spans="1:6" ht="12.75">
      <c r="A188" s="79" t="s">
        <v>13</v>
      </c>
      <c r="B188" s="35">
        <f>SUM(C188:F188)</f>
        <v>0.209077</v>
      </c>
      <c r="C188" s="36"/>
      <c r="D188" s="40"/>
      <c r="E188" s="40">
        <v>0.098488</v>
      </c>
      <c r="F188" s="47">
        <v>0.110589</v>
      </c>
    </row>
    <row r="189" spans="1:6" ht="13.5" thickBot="1">
      <c r="A189" s="80" t="s">
        <v>14</v>
      </c>
      <c r="B189" s="41">
        <f>SUM(C189:F189)</f>
        <v>0.346</v>
      </c>
      <c r="C189" s="42"/>
      <c r="D189" s="43"/>
      <c r="E189" s="43">
        <v>0.16</v>
      </c>
      <c r="F189" s="50">
        <v>0.186</v>
      </c>
    </row>
    <row r="190" spans="1:6" ht="13.5" thickBot="1">
      <c r="A190" s="72" t="s">
        <v>30</v>
      </c>
      <c r="B190" s="44">
        <f aca="true" t="shared" si="6" ref="B190:B199">SUM(C190:F190)</f>
        <v>0.302513</v>
      </c>
      <c r="C190" s="45">
        <f>C191+C199+C200</f>
        <v>0</v>
      </c>
      <c r="D190" s="45">
        <f>D191+D199+D200</f>
        <v>0</v>
      </c>
      <c r="E190" s="45">
        <f>E191+E199+E200</f>
        <v>0.280153</v>
      </c>
      <c r="F190" s="46">
        <f>F191+F199+F200</f>
        <v>0.02236</v>
      </c>
    </row>
    <row r="191" spans="1:6" ht="13.5">
      <c r="A191" s="78" t="s">
        <v>10</v>
      </c>
      <c r="B191" s="17">
        <f t="shared" si="6"/>
        <v>0.02282</v>
      </c>
      <c r="C191" s="18">
        <f>C192+C193+C194+C195+C196+C197+C198</f>
        <v>0</v>
      </c>
      <c r="D191" s="18">
        <f>D192+D193+D194+D195+D196+D197+D198</f>
        <v>0</v>
      </c>
      <c r="E191" s="18">
        <f>E192+E193+E194+E195+E196+E197+E198</f>
        <v>0.000485</v>
      </c>
      <c r="F191" s="19">
        <f>F192+F193+F194+F195+F196+F197+F198</f>
        <v>0.022335</v>
      </c>
    </row>
    <row r="192" spans="1:6" ht="12.75">
      <c r="A192" s="79" t="s">
        <v>4</v>
      </c>
      <c r="B192" s="35">
        <f t="shared" si="6"/>
        <v>0.019775</v>
      </c>
      <c r="C192" s="36"/>
      <c r="D192" s="40"/>
      <c r="E192" s="40"/>
      <c r="F192" s="47">
        <v>0.019775</v>
      </c>
    </row>
    <row r="193" spans="1:6" ht="12.75">
      <c r="A193" s="79" t="s">
        <v>17</v>
      </c>
      <c r="B193" s="35">
        <f t="shared" si="6"/>
        <v>0</v>
      </c>
      <c r="C193" s="36"/>
      <c r="D193" s="40"/>
      <c r="E193" s="40"/>
      <c r="F193" s="47"/>
    </row>
    <row r="194" spans="1:6" ht="12.75">
      <c r="A194" s="79" t="s">
        <v>5</v>
      </c>
      <c r="B194" s="35">
        <f t="shared" si="6"/>
        <v>0.000485</v>
      </c>
      <c r="C194" s="36"/>
      <c r="D194" s="40"/>
      <c r="E194" s="40">
        <v>0.000485</v>
      </c>
      <c r="F194" s="47"/>
    </row>
    <row r="195" spans="1:6" ht="12.75">
      <c r="A195" s="79" t="s">
        <v>23</v>
      </c>
      <c r="B195" s="35">
        <f t="shared" si="6"/>
        <v>0</v>
      </c>
      <c r="C195" s="36"/>
      <c r="D195" s="36"/>
      <c r="E195" s="36"/>
      <c r="F195" s="48"/>
    </row>
    <row r="196" spans="1:6" ht="12.75">
      <c r="A196" s="79" t="s">
        <v>24</v>
      </c>
      <c r="B196" s="35">
        <f t="shared" si="6"/>
        <v>0</v>
      </c>
      <c r="C196" s="36"/>
      <c r="D196" s="36"/>
      <c r="E196" s="36"/>
      <c r="F196" s="48"/>
    </row>
    <row r="197" spans="1:6" ht="12.75">
      <c r="A197" s="79" t="s">
        <v>25</v>
      </c>
      <c r="B197" s="35">
        <f t="shared" si="6"/>
        <v>0</v>
      </c>
      <c r="C197" s="36"/>
      <c r="D197" s="36"/>
      <c r="E197" s="36"/>
      <c r="F197" s="48"/>
    </row>
    <row r="198" spans="1:6" ht="12.75">
      <c r="A198" s="79" t="s">
        <v>26</v>
      </c>
      <c r="B198" s="35">
        <f t="shared" si="6"/>
        <v>0.00256</v>
      </c>
      <c r="C198" s="36"/>
      <c r="D198" s="36"/>
      <c r="E198" s="36"/>
      <c r="F198" s="48">
        <v>0.00256</v>
      </c>
    </row>
    <row r="199" spans="1:6" ht="13.5">
      <c r="A199" s="83" t="s">
        <v>0</v>
      </c>
      <c r="B199" s="51">
        <f t="shared" si="6"/>
        <v>0.151654</v>
      </c>
      <c r="C199" s="24"/>
      <c r="D199" s="26"/>
      <c r="E199" s="26">
        <v>0.151629</v>
      </c>
      <c r="F199" s="27">
        <v>2.5E-05</v>
      </c>
    </row>
    <row r="200" spans="1:6" ht="13.5">
      <c r="A200" s="82" t="s">
        <v>12</v>
      </c>
      <c r="B200" s="23">
        <f>SUM(C200:F200)</f>
        <v>0.128039</v>
      </c>
      <c r="C200" s="24">
        <f>C201</f>
        <v>0</v>
      </c>
      <c r="D200" s="26">
        <f>D201</f>
        <v>0</v>
      </c>
      <c r="E200" s="26">
        <f>E201</f>
        <v>0.128039</v>
      </c>
      <c r="F200" s="27">
        <f>F201</f>
        <v>0</v>
      </c>
    </row>
    <row r="201" spans="1:6" ht="12.75">
      <c r="A201" s="79" t="s">
        <v>13</v>
      </c>
      <c r="B201" s="35">
        <f>SUM(C201:F201)</f>
        <v>0.128039</v>
      </c>
      <c r="C201" s="36"/>
      <c r="D201" s="40"/>
      <c r="E201" s="40">
        <v>0.128039</v>
      </c>
      <c r="F201" s="47"/>
    </row>
    <row r="202" spans="1:6" ht="13.5" thickBot="1">
      <c r="A202" s="80" t="s">
        <v>14</v>
      </c>
      <c r="B202" s="41">
        <f>SUM(C202:F202)</f>
        <v>0.226</v>
      </c>
      <c r="C202" s="42"/>
      <c r="D202" s="43"/>
      <c r="E202" s="43">
        <v>0.226</v>
      </c>
      <c r="F202" s="50"/>
    </row>
  </sheetData>
  <sheetProtection/>
  <mergeCells count="3">
    <mergeCell ref="B4:F4"/>
    <mergeCell ref="A5:A6"/>
    <mergeCell ref="B5:F5"/>
  </mergeCells>
  <conditionalFormatting sqref="C134">
    <cfRule type="containsText" priority="1" dxfId="273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zoomScale="86" zoomScaleNormal="86" zoomScalePageLayoutView="0" workbookViewId="0" topLeftCell="A1">
      <selection activeCell="E36" sqref="E36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9.140625" style="1" customWidth="1"/>
    <col min="8" max="8" width="9.140625" style="208" customWidth="1"/>
    <col min="9" max="9" width="9.140625" style="195" customWidth="1"/>
    <col min="10" max="16384" width="9.140625" style="1" customWidth="1"/>
  </cols>
  <sheetData>
    <row r="1" spans="1:9" s="12" customFormat="1" ht="15.75">
      <c r="A1" s="9" t="s">
        <v>59</v>
      </c>
      <c r="B1" s="13"/>
      <c r="C1" s="14"/>
      <c r="D1" s="14"/>
      <c r="E1" s="14"/>
      <c r="F1" s="14"/>
      <c r="H1" s="206"/>
      <c r="I1" s="5"/>
    </row>
    <row r="2" spans="1:9" s="3" customFormat="1" ht="15.75" customHeight="1">
      <c r="A2" s="16" t="s">
        <v>37</v>
      </c>
      <c r="B2" s="11"/>
      <c r="C2" s="11"/>
      <c r="D2" s="11"/>
      <c r="E2" s="11"/>
      <c r="F2" s="11"/>
      <c r="H2" s="11"/>
      <c r="I2" s="4"/>
    </row>
    <row r="3" spans="1:9" s="3" customFormat="1" ht="15.75" customHeight="1" thickBot="1">
      <c r="A3" s="6"/>
      <c r="B3" s="10"/>
      <c r="C3" s="10"/>
      <c r="D3" s="10"/>
      <c r="E3" s="10"/>
      <c r="F3" s="10"/>
      <c r="H3" s="11"/>
      <c r="I3" s="4"/>
    </row>
    <row r="4" spans="1:9" s="2" customFormat="1" ht="15.75" customHeight="1" thickBot="1">
      <c r="A4" s="7"/>
      <c r="B4" s="256" t="s">
        <v>60</v>
      </c>
      <c r="C4" s="257"/>
      <c r="D4" s="257"/>
      <c r="E4" s="257"/>
      <c r="F4" s="258"/>
      <c r="H4" s="207"/>
      <c r="I4" s="196"/>
    </row>
    <row r="5" spans="1:9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  <c r="H5" s="207"/>
      <c r="I5" s="196"/>
    </row>
    <row r="6" spans="1:9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H6" s="207"/>
      <c r="I6" s="196"/>
    </row>
    <row r="7" spans="1:6" ht="18.75" customHeight="1" thickBot="1">
      <c r="A7" s="54" t="s">
        <v>31</v>
      </c>
      <c r="B7" s="44">
        <f aca="true" t="shared" si="0" ref="B7:F19">B31+B47+B60+B73+B86+B99+B112+B125+B138+B151+B164+B177+B190</f>
        <v>104.15333399999999</v>
      </c>
      <c r="C7" s="45">
        <f t="shared" si="0"/>
        <v>29.985864</v>
      </c>
      <c r="D7" s="45">
        <f t="shared" si="0"/>
        <v>0.6662750000000001</v>
      </c>
      <c r="E7" s="46">
        <f t="shared" si="0"/>
        <v>30.389654</v>
      </c>
      <c r="F7" s="46">
        <f>F8+F16+F20+F17</f>
        <v>43.111541</v>
      </c>
    </row>
    <row r="8" spans="1:6" ht="13.5">
      <c r="A8" s="55" t="s">
        <v>10</v>
      </c>
      <c r="B8" s="17">
        <f aca="true" t="shared" si="1" ref="B8:B22">SUM(C8:F8)</f>
        <v>33.013266</v>
      </c>
      <c r="C8" s="18">
        <f>C9+C10+C11+C12+C13+C14+C15</f>
        <v>0.106972</v>
      </c>
      <c r="D8" s="18">
        <f>D9+D10+D11+D12+D13+D14+D15</f>
        <v>0.00092</v>
      </c>
      <c r="E8" s="18">
        <f>E9+E10+E11+E12+E13+E14+E15</f>
        <v>2.389076</v>
      </c>
      <c r="F8" s="19">
        <f>F9+F10+F11+F12+F13+F14+F15</f>
        <v>30.516298000000003</v>
      </c>
    </row>
    <row r="9" spans="1:6" ht="12.75">
      <c r="A9" s="56" t="s">
        <v>4</v>
      </c>
      <c r="B9" s="20">
        <f t="shared" si="1"/>
        <v>12.378394000000002</v>
      </c>
      <c r="C9" s="21">
        <f>C33+C49+C62+C75+C88+C101+C114+C127+C140+C153+C166+C179+C192</f>
        <v>0.007876</v>
      </c>
      <c r="D9" s="21">
        <f t="shared" si="0"/>
        <v>0</v>
      </c>
      <c r="E9" s="21">
        <f t="shared" si="0"/>
        <v>1.151082</v>
      </c>
      <c r="F9" s="22">
        <f t="shared" si="0"/>
        <v>11.219436000000002</v>
      </c>
    </row>
    <row r="10" spans="1:6" ht="12.75">
      <c r="A10" s="56" t="s">
        <v>11</v>
      </c>
      <c r="B10" s="20">
        <f t="shared" si="1"/>
        <v>0.979643</v>
      </c>
      <c r="C10" s="21">
        <f t="shared" si="0"/>
        <v>0</v>
      </c>
      <c r="D10" s="21">
        <f t="shared" si="0"/>
        <v>0</v>
      </c>
      <c r="E10" s="21">
        <f t="shared" si="0"/>
        <v>0.495859</v>
      </c>
      <c r="F10" s="22">
        <f t="shared" si="0"/>
        <v>0.483784</v>
      </c>
    </row>
    <row r="11" spans="1:6" ht="12.75">
      <c r="A11" s="56" t="s">
        <v>5</v>
      </c>
      <c r="B11" s="20">
        <f t="shared" si="1"/>
        <v>19.155256</v>
      </c>
      <c r="C11" s="21">
        <f t="shared" si="0"/>
        <v>0.014589</v>
      </c>
      <c r="D11" s="21">
        <f t="shared" si="0"/>
        <v>0.00092</v>
      </c>
      <c r="E11" s="21">
        <f t="shared" si="0"/>
        <v>0.41207699999999997</v>
      </c>
      <c r="F11" s="22">
        <f t="shared" si="0"/>
        <v>18.72767</v>
      </c>
    </row>
    <row r="12" spans="1:6" ht="12.75">
      <c r="A12" s="56" t="s">
        <v>23</v>
      </c>
      <c r="B12" s="20">
        <f t="shared" si="1"/>
        <v>0.014329</v>
      </c>
      <c r="C12" s="21">
        <f t="shared" si="0"/>
        <v>0</v>
      </c>
      <c r="D12" s="21">
        <f t="shared" si="0"/>
        <v>0</v>
      </c>
      <c r="E12" s="21">
        <f t="shared" si="0"/>
        <v>0.014329</v>
      </c>
      <c r="F12" s="22">
        <f t="shared" si="0"/>
        <v>0</v>
      </c>
    </row>
    <row r="13" spans="1:6" ht="12.75">
      <c r="A13" s="56" t="s">
        <v>24</v>
      </c>
      <c r="B13" s="20">
        <f t="shared" si="1"/>
        <v>0.034125</v>
      </c>
      <c r="C13" s="21">
        <f t="shared" si="0"/>
        <v>0</v>
      </c>
      <c r="D13" s="21">
        <f t="shared" si="0"/>
        <v>0</v>
      </c>
      <c r="E13" s="21">
        <f t="shared" si="0"/>
        <v>0.01352</v>
      </c>
      <c r="F13" s="22">
        <f t="shared" si="0"/>
        <v>0.020605000000000002</v>
      </c>
    </row>
    <row r="14" spans="1:6" ht="12.75">
      <c r="A14" s="56" t="s">
        <v>25</v>
      </c>
      <c r="B14" s="20">
        <f t="shared" si="1"/>
        <v>0.424936</v>
      </c>
      <c r="C14" s="21">
        <f t="shared" si="0"/>
        <v>0.075826</v>
      </c>
      <c r="D14" s="21">
        <f t="shared" si="0"/>
        <v>0</v>
      </c>
      <c r="E14" s="21">
        <f t="shared" si="0"/>
        <v>0.289751</v>
      </c>
      <c r="F14" s="22">
        <f t="shared" si="0"/>
        <v>0.059359</v>
      </c>
    </row>
    <row r="15" spans="1:6" ht="12.75">
      <c r="A15" s="56" t="s">
        <v>26</v>
      </c>
      <c r="B15" s="20">
        <f t="shared" si="1"/>
        <v>0.026583</v>
      </c>
      <c r="C15" s="21">
        <f t="shared" si="0"/>
        <v>0.008681</v>
      </c>
      <c r="D15" s="21">
        <f t="shared" si="0"/>
        <v>0</v>
      </c>
      <c r="E15" s="21">
        <f t="shared" si="0"/>
        <v>0.012458</v>
      </c>
      <c r="F15" s="22">
        <f t="shared" si="0"/>
        <v>0.005444000000000001</v>
      </c>
    </row>
    <row r="16" spans="1:6" ht="13.5">
      <c r="A16" s="55" t="s">
        <v>0</v>
      </c>
      <c r="B16" s="23">
        <f t="shared" si="1"/>
        <v>46.284489</v>
      </c>
      <c r="C16" s="202">
        <f t="shared" si="0"/>
        <v>16.252634</v>
      </c>
      <c r="D16" s="202">
        <f t="shared" si="0"/>
        <v>0.40461400000000003</v>
      </c>
      <c r="E16" s="202">
        <f t="shared" si="0"/>
        <v>18.462335999999997</v>
      </c>
      <c r="F16" s="203">
        <f t="shared" si="0"/>
        <v>11.164905000000003</v>
      </c>
    </row>
    <row r="17" spans="1:6" ht="13.5">
      <c r="A17" s="55" t="s">
        <v>12</v>
      </c>
      <c r="B17" s="23">
        <f t="shared" si="1"/>
        <v>23.673226</v>
      </c>
      <c r="C17" s="24">
        <f t="shared" si="0"/>
        <v>12.443905</v>
      </c>
      <c r="D17" s="24">
        <f t="shared" si="0"/>
        <v>0.260741</v>
      </c>
      <c r="E17" s="24">
        <f t="shared" si="0"/>
        <v>9.538242</v>
      </c>
      <c r="F17" s="25">
        <f t="shared" si="0"/>
        <v>1.430338</v>
      </c>
    </row>
    <row r="18" spans="1:6" ht="13.5">
      <c r="A18" s="56" t="s">
        <v>13</v>
      </c>
      <c r="B18" s="204">
        <f t="shared" si="1"/>
        <v>23.673226</v>
      </c>
      <c r="C18" s="24">
        <f t="shared" si="0"/>
        <v>12.443905</v>
      </c>
      <c r="D18" s="24">
        <f t="shared" si="0"/>
        <v>0.260741</v>
      </c>
      <c r="E18" s="24">
        <f t="shared" si="0"/>
        <v>9.538242</v>
      </c>
      <c r="F18" s="25">
        <f t="shared" si="0"/>
        <v>1.430338</v>
      </c>
    </row>
    <row r="19" spans="1:6" ht="12.75">
      <c r="A19" s="57" t="s">
        <v>14</v>
      </c>
      <c r="B19" s="58">
        <f>SUM(C19:F19)</f>
        <v>35.986</v>
      </c>
      <c r="C19" s="21">
        <f t="shared" si="0"/>
        <v>17.67</v>
      </c>
      <c r="D19" s="21">
        <f t="shared" si="0"/>
        <v>0.438</v>
      </c>
      <c r="E19" s="21">
        <f t="shared" si="0"/>
        <v>15.399999999999999</v>
      </c>
      <c r="F19" s="22">
        <f t="shared" si="0"/>
        <v>2.4779999999999998</v>
      </c>
    </row>
    <row r="20" spans="1:6" ht="13.5">
      <c r="A20" s="55" t="s">
        <v>15</v>
      </c>
      <c r="B20" s="23">
        <f t="shared" si="1"/>
        <v>1.182353</v>
      </c>
      <c r="C20" s="24">
        <f>C21</f>
        <v>1.182353</v>
      </c>
      <c r="D20" s="26"/>
      <c r="E20" s="26"/>
      <c r="F20" s="27"/>
    </row>
    <row r="21" spans="1:6" ht="12.75">
      <c r="A21" s="56" t="s">
        <v>13</v>
      </c>
      <c r="B21" s="20">
        <f t="shared" si="1"/>
        <v>1.182353</v>
      </c>
      <c r="C21" s="21">
        <f>C45</f>
        <v>1.182353</v>
      </c>
      <c r="D21" s="28"/>
      <c r="E21" s="28"/>
      <c r="F21" s="29"/>
    </row>
    <row r="22" spans="1:6" ht="12.75">
      <c r="A22" s="60" t="s">
        <v>16</v>
      </c>
      <c r="B22" s="58">
        <f t="shared" si="1"/>
        <v>2.6769999999999996</v>
      </c>
      <c r="C22" s="59">
        <f>C46</f>
        <v>2.6769999999999996</v>
      </c>
      <c r="D22" s="30"/>
      <c r="E22" s="30"/>
      <c r="F22" s="31"/>
    </row>
    <row r="23" spans="1:6" ht="13.5">
      <c r="A23" s="55" t="s">
        <v>32</v>
      </c>
      <c r="B23" s="23">
        <f>SUM(C23:F23)</f>
        <v>2.737406</v>
      </c>
      <c r="C23" s="24">
        <f>C24</f>
        <v>2.737406</v>
      </c>
      <c r="D23" s="26">
        <f>D24</f>
        <v>0</v>
      </c>
      <c r="E23" s="26">
        <f>E24</f>
        <v>0</v>
      </c>
      <c r="F23" s="27">
        <f>F24</f>
        <v>0</v>
      </c>
    </row>
    <row r="24" spans="1:6" ht="12.75">
      <c r="A24" s="56" t="s">
        <v>13</v>
      </c>
      <c r="B24" s="20">
        <f>SUM(C24:F24)</f>
        <v>2.737406</v>
      </c>
      <c r="C24" s="21">
        <f>C58</f>
        <v>2.737406</v>
      </c>
      <c r="D24" s="28"/>
      <c r="E24" s="28"/>
      <c r="F24" s="29"/>
    </row>
    <row r="25" spans="1:6" ht="12.75" customHeight="1" thickBot="1">
      <c r="A25" s="61" t="s">
        <v>14</v>
      </c>
      <c r="B25" s="32">
        <f>SUM(C25:F25)</f>
        <v>6.192</v>
      </c>
      <c r="C25" s="62">
        <f>C59</f>
        <v>6.192</v>
      </c>
      <c r="D25" s="33"/>
      <c r="E25" s="33"/>
      <c r="F25" s="34"/>
    </row>
    <row r="26" spans="1:6" ht="12.75" customHeight="1" hidden="1" thickBot="1">
      <c r="A26" s="88"/>
      <c r="B26" s="89"/>
      <c r="C26" s="90"/>
      <c r="D26" s="91"/>
      <c r="E26" s="91"/>
      <c r="F26" s="92"/>
    </row>
    <row r="27" spans="1:6" ht="12.75" customHeight="1" hidden="1" thickBot="1">
      <c r="A27" s="93"/>
      <c r="B27" s="94"/>
      <c r="C27" s="95"/>
      <c r="D27" s="96"/>
      <c r="E27" s="96"/>
      <c r="F27" s="97"/>
    </row>
    <row r="28" spans="1:6" ht="12.75" customHeight="1" hidden="1" thickBot="1">
      <c r="A28" s="98"/>
      <c r="B28" s="99"/>
      <c r="C28" s="100"/>
      <c r="D28" s="101"/>
      <c r="E28" s="101"/>
      <c r="F28" s="102"/>
    </row>
    <row r="29" spans="1:6" ht="12.75" customHeight="1" hidden="1" thickBot="1">
      <c r="A29" s="103"/>
      <c r="B29" s="104"/>
      <c r="C29" s="105"/>
      <c r="D29" s="106"/>
      <c r="E29" s="107"/>
      <c r="F29" s="108"/>
    </row>
    <row r="30" spans="1:6" ht="12.75" customHeight="1" hidden="1" thickBot="1">
      <c r="A30" s="109"/>
      <c r="B30" s="110"/>
      <c r="C30" s="111"/>
      <c r="D30" s="112"/>
      <c r="E30" s="112"/>
      <c r="F30" s="113"/>
    </row>
    <row r="31" spans="1:6" ht="13.5" customHeight="1" thickBot="1">
      <c r="A31" s="63" t="s">
        <v>39</v>
      </c>
      <c r="B31" s="227">
        <f>SUM(C31:F31)</f>
        <v>61.56015</v>
      </c>
      <c r="C31" s="174">
        <f>C32+C40+C44+C41</f>
        <v>13.732674</v>
      </c>
      <c r="D31" s="174">
        <f>D32+D40+D44+D41</f>
        <v>0.5114920000000001</v>
      </c>
      <c r="E31" s="174">
        <f>E32+E40+E44+E41</f>
        <v>19.472761</v>
      </c>
      <c r="F31" s="175">
        <f>F32+F40+F44+F41</f>
        <v>27.843223000000002</v>
      </c>
    </row>
    <row r="32" spans="1:6" ht="12.75" customHeight="1">
      <c r="A32" s="55" t="s">
        <v>10</v>
      </c>
      <c r="B32" s="228">
        <f>SUM(C32:F32)</f>
        <v>20.139435000000002</v>
      </c>
      <c r="C32" s="229">
        <f>C33+C34+C35+C36+C37+C38+C39</f>
        <v>0.030004999999999997</v>
      </c>
      <c r="D32" s="229">
        <f>D33+D34+D35+D36+D37+D38+D39</f>
        <v>0.00092</v>
      </c>
      <c r="E32" s="229">
        <f>E33+E34+E35+E36+E37+E38+E39</f>
        <v>0.791675</v>
      </c>
      <c r="F32" s="230">
        <f>F33+F34+F35+F36+F37+F38+F39</f>
        <v>19.316835</v>
      </c>
    </row>
    <row r="33" spans="1:6" ht="12.75" customHeight="1">
      <c r="A33" s="56" t="s">
        <v>4</v>
      </c>
      <c r="B33" s="231">
        <f>SUM(C33:F33)</f>
        <v>5.356023</v>
      </c>
      <c r="C33" s="67">
        <v>0.007876</v>
      </c>
      <c r="D33" s="67"/>
      <c r="E33" s="67">
        <f>0.018878+0.195551</f>
        <v>0.214429</v>
      </c>
      <c r="F33" s="68">
        <f>0.012001+5.121717</f>
        <v>5.133718</v>
      </c>
    </row>
    <row r="34" spans="1:6" ht="12.75" customHeight="1">
      <c r="A34" s="56" t="s">
        <v>11</v>
      </c>
      <c r="B34" s="231">
        <f>SUM(C34:F34)</f>
        <v>0.09667300000000001</v>
      </c>
      <c r="C34" s="67"/>
      <c r="D34" s="67"/>
      <c r="E34" s="67">
        <v>0.02476</v>
      </c>
      <c r="F34" s="68">
        <f>0.011318+0.060595</f>
        <v>0.071913</v>
      </c>
    </row>
    <row r="35" spans="1:6" ht="12.75" customHeight="1">
      <c r="A35" s="56" t="s">
        <v>5</v>
      </c>
      <c r="B35" s="231">
        <f>SUM(C35:F35)</f>
        <v>14.419029</v>
      </c>
      <c r="C35" s="67">
        <f>0.00059+0.013999</f>
        <v>0.014589</v>
      </c>
      <c r="D35" s="67">
        <v>0.00092</v>
      </c>
      <c r="E35" s="67">
        <f>0.062865+0.295128</f>
        <v>0.357993</v>
      </c>
      <c r="F35" s="68">
        <f>0.010267+14.03526</f>
        <v>14.045527</v>
      </c>
    </row>
    <row r="36" spans="1:6" ht="12.75" customHeight="1">
      <c r="A36" s="56" t="s">
        <v>23</v>
      </c>
      <c r="B36" s="231">
        <f>SUM(C36:F36)</f>
        <v>0.014329</v>
      </c>
      <c r="C36" s="67"/>
      <c r="D36" s="67"/>
      <c r="E36" s="67">
        <v>0.014329</v>
      </c>
      <c r="F36" s="68">
        <v>0</v>
      </c>
    </row>
    <row r="37" spans="1:6" ht="12.75" customHeight="1">
      <c r="A37" s="56" t="s">
        <v>24</v>
      </c>
      <c r="B37" s="231">
        <f>SUM(C37:F37)</f>
        <v>0.005783</v>
      </c>
      <c r="C37" s="67"/>
      <c r="D37" s="67"/>
      <c r="E37" s="67">
        <v>0</v>
      </c>
      <c r="F37" s="68">
        <v>0.005783</v>
      </c>
    </row>
    <row r="38" spans="1:6" ht="12.75" customHeight="1">
      <c r="A38" s="56" t="s">
        <v>25</v>
      </c>
      <c r="B38" s="231">
        <f>SUM(C38:F38)</f>
        <v>0.22886599999999999</v>
      </c>
      <c r="C38" s="67"/>
      <c r="D38" s="67"/>
      <c r="E38" s="67">
        <v>0.169507</v>
      </c>
      <c r="F38" s="68">
        <v>0.059359</v>
      </c>
    </row>
    <row r="39" spans="1:6" ht="12.75" customHeight="1">
      <c r="A39" s="56" t="s">
        <v>26</v>
      </c>
      <c r="B39" s="231">
        <f>SUM(C39:F39)</f>
        <v>0.018732</v>
      </c>
      <c r="C39" s="67">
        <v>0.00754</v>
      </c>
      <c r="D39" s="67"/>
      <c r="E39" s="67">
        <v>0.010657</v>
      </c>
      <c r="F39" s="68">
        <v>0.000535</v>
      </c>
    </row>
    <row r="40" spans="1:6" ht="12.75" customHeight="1">
      <c r="A40" s="55" t="s">
        <v>0</v>
      </c>
      <c r="B40" s="232">
        <f aca="true" t="shared" si="2" ref="B40:B51">SUM(C40:F40)</f>
        <v>26.810316</v>
      </c>
      <c r="C40" s="69">
        <f>7.520371+0.921498</f>
        <v>8.441869</v>
      </c>
      <c r="D40" s="69">
        <v>0.249831</v>
      </c>
      <c r="E40" s="69">
        <f>1.070831+9.497323</f>
        <v>10.568154</v>
      </c>
      <c r="F40" s="233">
        <f>7.117137+0.433325</f>
        <v>7.550462</v>
      </c>
    </row>
    <row r="41" spans="1:6" ht="12.75" customHeight="1">
      <c r="A41" s="55" t="s">
        <v>12</v>
      </c>
      <c r="B41" s="232">
        <f t="shared" si="2"/>
        <v>13.428046</v>
      </c>
      <c r="C41" s="69">
        <f>C42</f>
        <v>4.078447</v>
      </c>
      <c r="D41" s="69">
        <f>D42</f>
        <v>0.260741</v>
      </c>
      <c r="E41" s="69">
        <f>E42</f>
        <v>8.112932</v>
      </c>
      <c r="F41" s="233">
        <f>F42</f>
        <v>0.975926</v>
      </c>
    </row>
    <row r="42" spans="1:6" ht="12.75" customHeight="1">
      <c r="A42" s="56" t="s">
        <v>13</v>
      </c>
      <c r="B42" s="231">
        <f t="shared" si="2"/>
        <v>13.428046</v>
      </c>
      <c r="C42" s="67">
        <v>4.078447</v>
      </c>
      <c r="D42" s="81">
        <v>0.260741</v>
      </c>
      <c r="E42" s="69">
        <v>8.112932</v>
      </c>
      <c r="F42" s="234">
        <v>0.975926</v>
      </c>
    </row>
    <row r="43" spans="1:6" ht="12.75" customHeight="1">
      <c r="A43" s="57" t="s">
        <v>14</v>
      </c>
      <c r="B43" s="235">
        <f t="shared" si="2"/>
        <v>20.806</v>
      </c>
      <c r="C43" s="236">
        <v>5.486</v>
      </c>
      <c r="D43" s="237">
        <v>0.438</v>
      </c>
      <c r="E43" s="237">
        <v>13.186</v>
      </c>
      <c r="F43" s="238">
        <v>1.696</v>
      </c>
    </row>
    <row r="44" spans="1:6" ht="12.75" customHeight="1">
      <c r="A44" s="55" t="s">
        <v>15</v>
      </c>
      <c r="B44" s="232">
        <f t="shared" si="2"/>
        <v>1.182353</v>
      </c>
      <c r="C44" s="69">
        <f>C45</f>
        <v>1.182353</v>
      </c>
      <c r="D44" s="70">
        <f>D45</f>
        <v>0</v>
      </c>
      <c r="E44" s="70">
        <f>E45</f>
        <v>0</v>
      </c>
      <c r="F44" s="239">
        <f>F45</f>
        <v>0</v>
      </c>
    </row>
    <row r="45" spans="1:6" ht="12.75" customHeight="1">
      <c r="A45" s="56" t="s">
        <v>13</v>
      </c>
      <c r="B45" s="231">
        <f t="shared" si="2"/>
        <v>1.182353</v>
      </c>
      <c r="C45" s="67">
        <v>1.182353</v>
      </c>
      <c r="D45" s="81"/>
      <c r="E45" s="81"/>
      <c r="F45" s="240"/>
    </row>
    <row r="46" spans="1:6" ht="12.75" customHeight="1" thickBot="1">
      <c r="A46" s="60" t="s">
        <v>14</v>
      </c>
      <c r="B46" s="241">
        <f t="shared" si="2"/>
        <v>2.6769999999999996</v>
      </c>
      <c r="C46" s="242">
        <v>2.6769999999999996</v>
      </c>
      <c r="D46" s="243"/>
      <c r="E46" s="243"/>
      <c r="F46" s="244"/>
    </row>
    <row r="47" spans="1:6" ht="12.75" customHeight="1" thickBot="1">
      <c r="A47" s="72" t="s">
        <v>42</v>
      </c>
      <c r="B47" s="44">
        <f t="shared" si="2"/>
        <v>2.737406</v>
      </c>
      <c r="C47" s="45">
        <f>C48+C56+C57</f>
        <v>2.737406</v>
      </c>
      <c r="D47" s="45">
        <f>D48+D56+D57</f>
        <v>0</v>
      </c>
      <c r="E47" s="45">
        <f>E48+E56+E57</f>
        <v>0</v>
      </c>
      <c r="F47" s="46">
        <f>F48+F56+F57</f>
        <v>0</v>
      </c>
    </row>
    <row r="48" spans="1:6" ht="12.75" customHeight="1">
      <c r="A48" s="55" t="s">
        <v>10</v>
      </c>
      <c r="B48" s="17">
        <f t="shared" si="2"/>
        <v>0</v>
      </c>
      <c r="C48" s="18">
        <f>C49+C50+C51+C52+C53+C54+C55</f>
        <v>0</v>
      </c>
      <c r="D48" s="18">
        <f>D49+D50+D51+D52+D53+D54+D55</f>
        <v>0</v>
      </c>
      <c r="E48" s="18">
        <f>E49+E50+E51+E52+E53+E54+E55</f>
        <v>0</v>
      </c>
      <c r="F48" s="19">
        <f>F49+F50+F51+F52+F53+F54+F55</f>
        <v>0</v>
      </c>
    </row>
    <row r="49" spans="1:6" ht="12.75" customHeight="1">
      <c r="A49" s="56" t="s">
        <v>4</v>
      </c>
      <c r="B49" s="35">
        <f t="shared" si="2"/>
        <v>0</v>
      </c>
      <c r="C49" s="36"/>
      <c r="D49" s="40"/>
      <c r="E49" s="40"/>
      <c r="F49" s="47"/>
    </row>
    <row r="50" spans="1:6" ht="12.75" customHeight="1">
      <c r="A50" s="56" t="s">
        <v>17</v>
      </c>
      <c r="B50" s="35">
        <f t="shared" si="2"/>
        <v>0</v>
      </c>
      <c r="C50" s="36"/>
      <c r="D50" s="40"/>
      <c r="E50" s="40"/>
      <c r="F50" s="47"/>
    </row>
    <row r="51" spans="1:6" ht="12.75" customHeight="1">
      <c r="A51" s="56" t="s">
        <v>5</v>
      </c>
      <c r="B51" s="35">
        <f t="shared" si="2"/>
        <v>0</v>
      </c>
      <c r="C51" s="36"/>
      <c r="D51" s="40"/>
      <c r="E51" s="40"/>
      <c r="F51" s="47"/>
    </row>
    <row r="52" spans="1:6" ht="12.75" customHeight="1">
      <c r="A52" s="56" t="s">
        <v>23</v>
      </c>
      <c r="B52" s="35">
        <f>SUM(C52:F52)</f>
        <v>0</v>
      </c>
      <c r="C52" s="36"/>
      <c r="D52" s="36"/>
      <c r="E52" s="36"/>
      <c r="F52" s="48"/>
    </row>
    <row r="53" spans="1:6" ht="12.75" customHeight="1">
      <c r="A53" s="56" t="s">
        <v>24</v>
      </c>
      <c r="B53" s="35">
        <f>SUM(C53:F53)</f>
        <v>0</v>
      </c>
      <c r="C53" s="36"/>
      <c r="D53" s="36"/>
      <c r="E53" s="36"/>
      <c r="F53" s="48"/>
    </row>
    <row r="54" spans="1:6" ht="12.75" customHeight="1">
      <c r="A54" s="56" t="s">
        <v>25</v>
      </c>
      <c r="B54" s="35">
        <f>SUM(C54:F54)</f>
        <v>0</v>
      </c>
      <c r="C54" s="245"/>
      <c r="D54" s="21"/>
      <c r="E54" s="36"/>
      <c r="F54" s="48"/>
    </row>
    <row r="55" spans="1:6" ht="12.75" customHeight="1">
      <c r="A55" s="56" t="s">
        <v>26</v>
      </c>
      <c r="B55" s="35">
        <f>SUM(C55:F55)</f>
        <v>0</v>
      </c>
      <c r="C55" s="245"/>
      <c r="D55" s="21"/>
      <c r="E55" s="36"/>
      <c r="F55" s="48"/>
    </row>
    <row r="56" spans="1:6" ht="12.75" customHeight="1">
      <c r="A56" s="55" t="s">
        <v>0</v>
      </c>
      <c r="B56" s="37">
        <f aca="true" t="shared" si="3" ref="B56:B64">SUM(C56:F56)</f>
        <v>0</v>
      </c>
      <c r="C56" s="246"/>
      <c r="D56" s="26"/>
      <c r="E56" s="26"/>
      <c r="F56" s="27"/>
    </row>
    <row r="57" spans="1:6" ht="12.75" customHeight="1">
      <c r="A57" s="55" t="s">
        <v>12</v>
      </c>
      <c r="B57" s="37">
        <f t="shared" si="3"/>
        <v>2.737406</v>
      </c>
      <c r="C57" s="246">
        <f>C58</f>
        <v>2.737406</v>
      </c>
      <c r="D57" s="26">
        <f>D58</f>
        <v>0</v>
      </c>
      <c r="E57" s="39">
        <f>E58</f>
        <v>0</v>
      </c>
      <c r="F57" s="49">
        <f>F58</f>
        <v>0</v>
      </c>
    </row>
    <row r="58" spans="1:6" ht="12.75" customHeight="1">
      <c r="A58" s="56" t="s">
        <v>13</v>
      </c>
      <c r="B58" s="35">
        <f t="shared" si="3"/>
        <v>2.737406</v>
      </c>
      <c r="C58" s="245">
        <v>2.737406</v>
      </c>
      <c r="D58" s="28"/>
      <c r="E58" s="40"/>
      <c r="F58" s="47"/>
    </row>
    <row r="59" spans="1:6" ht="12.75" customHeight="1" thickBot="1">
      <c r="A59" s="73" t="s">
        <v>14</v>
      </c>
      <c r="B59" s="41">
        <f t="shared" si="3"/>
        <v>6.192</v>
      </c>
      <c r="C59" s="42">
        <v>6.192</v>
      </c>
      <c r="D59" s="43"/>
      <c r="E59" s="43"/>
      <c r="F59" s="50"/>
    </row>
    <row r="60" spans="1:6" ht="12.75" customHeight="1" thickBot="1">
      <c r="A60" s="72" t="s">
        <v>27</v>
      </c>
      <c r="B60" s="44">
        <f t="shared" si="3"/>
        <v>13.771486</v>
      </c>
      <c r="C60" s="45">
        <f>C61+C69+C70</f>
        <v>7.659255999999999</v>
      </c>
      <c r="D60" s="45">
        <f>D61+D69+D70</f>
        <v>0.154783</v>
      </c>
      <c r="E60" s="45">
        <f>E61+E69+E70</f>
        <v>2.3257309999999998</v>
      </c>
      <c r="F60" s="46">
        <f>F61+F69+F70</f>
        <v>3.6317160000000004</v>
      </c>
    </row>
    <row r="61" spans="1:6" ht="12.75" customHeight="1">
      <c r="A61" s="78" t="s">
        <v>10</v>
      </c>
      <c r="B61" s="17">
        <f t="shared" si="3"/>
        <v>2.7502020000000003</v>
      </c>
      <c r="C61" s="18">
        <f>C62+C63+C64+C65+C66+C67+C68</f>
        <v>0</v>
      </c>
      <c r="D61" s="18">
        <f>D62+D63+D64+D65+D66+D67+D68</f>
        <v>0</v>
      </c>
      <c r="E61" s="18">
        <f>E62+E63+E64+E65+E66+E67+E68</f>
        <v>0.163002</v>
      </c>
      <c r="F61" s="19">
        <f>F62+F63+F64+F65+F66+F67+F68</f>
        <v>2.5872</v>
      </c>
    </row>
    <row r="62" spans="1:6" ht="12.75" customHeight="1">
      <c r="A62" s="79" t="s">
        <v>4</v>
      </c>
      <c r="B62" s="35">
        <f t="shared" si="3"/>
        <v>2.5704890000000002</v>
      </c>
      <c r="C62" s="36"/>
      <c r="D62" s="36"/>
      <c r="E62" s="36">
        <v>0.15085</v>
      </c>
      <c r="F62" s="48">
        <v>2.419639</v>
      </c>
    </row>
    <row r="63" spans="1:6" ht="12.75" customHeight="1">
      <c r="A63" s="79" t="s">
        <v>17</v>
      </c>
      <c r="B63" s="35">
        <f t="shared" si="3"/>
        <v>0.101645</v>
      </c>
      <c r="C63" s="36"/>
      <c r="D63" s="40"/>
      <c r="E63" s="40"/>
      <c r="F63" s="47">
        <v>0.101645</v>
      </c>
    </row>
    <row r="64" spans="1:6" ht="12.75" customHeight="1">
      <c r="A64" s="79" t="s">
        <v>5</v>
      </c>
      <c r="B64" s="35">
        <f t="shared" si="3"/>
        <v>0.078068</v>
      </c>
      <c r="C64" s="36"/>
      <c r="D64" s="40"/>
      <c r="E64" s="40">
        <v>0.012152</v>
      </c>
      <c r="F64" s="47">
        <v>0.065916</v>
      </c>
    </row>
    <row r="65" spans="1:6" ht="12.75" customHeight="1">
      <c r="A65" s="79" t="s">
        <v>23</v>
      </c>
      <c r="B65" s="35">
        <f>SUM(C65:F65)</f>
        <v>0</v>
      </c>
      <c r="C65" s="36"/>
      <c r="D65" s="36"/>
      <c r="E65" s="36"/>
      <c r="F65" s="48"/>
    </row>
    <row r="66" spans="1:6" ht="12.75" customHeight="1">
      <c r="A66" s="79" t="s">
        <v>24</v>
      </c>
      <c r="B66" s="35">
        <f>SUM(C66:F66)</f>
        <v>0</v>
      </c>
      <c r="C66" s="36"/>
      <c r="D66" s="36"/>
      <c r="E66" s="36"/>
      <c r="F66" s="48"/>
    </row>
    <row r="67" spans="1:6" ht="12.75" customHeight="1">
      <c r="A67" s="79" t="s">
        <v>25</v>
      </c>
      <c r="B67" s="35">
        <f>SUM(C67:F67)</f>
        <v>0</v>
      </c>
      <c r="C67" s="36"/>
      <c r="D67" s="36"/>
      <c r="E67" s="36"/>
      <c r="F67" s="48"/>
    </row>
    <row r="68" spans="1:6" ht="12.75" customHeight="1">
      <c r="A68" s="79" t="s">
        <v>26</v>
      </c>
      <c r="B68" s="35">
        <f>SUM(C68:F68)</f>
        <v>0</v>
      </c>
      <c r="C68" s="36"/>
      <c r="D68" s="36"/>
      <c r="E68" s="36"/>
      <c r="F68" s="48"/>
    </row>
    <row r="69" spans="1:6" ht="12.75" customHeight="1">
      <c r="A69" s="78" t="s">
        <v>0</v>
      </c>
      <c r="B69" s="37">
        <f>SUM(C69:F69)</f>
        <v>6.979743</v>
      </c>
      <c r="C69" s="38">
        <f>0.010953+4.015223</f>
        <v>4.0261759999999995</v>
      </c>
      <c r="D69" s="39">
        <v>0.154783</v>
      </c>
      <c r="E69" s="26">
        <f>1.332358+0.457655</f>
        <v>1.7900129999999999</v>
      </c>
      <c r="F69" s="27">
        <f>0.889026+0.119745</f>
        <v>1.008771</v>
      </c>
    </row>
    <row r="70" spans="1:6" ht="12.75" customHeight="1">
      <c r="A70" s="78" t="s">
        <v>34</v>
      </c>
      <c r="B70" s="37">
        <f>SUM(C70:F70)</f>
        <v>4.0415410000000005</v>
      </c>
      <c r="C70" s="38">
        <f>C71</f>
        <v>3.63308</v>
      </c>
      <c r="D70" s="39">
        <f>D71</f>
        <v>0</v>
      </c>
      <c r="E70" s="39">
        <f>E71</f>
        <v>0.372716</v>
      </c>
      <c r="F70" s="49">
        <f>F71</f>
        <v>0.035745</v>
      </c>
    </row>
    <row r="71" spans="1:6" ht="12.75" customHeight="1">
      <c r="A71" s="79" t="s">
        <v>13</v>
      </c>
      <c r="B71" s="35">
        <f>SUM(C71:F71)</f>
        <v>4.0415410000000005</v>
      </c>
      <c r="C71" s="38">
        <v>3.63308</v>
      </c>
      <c r="D71" s="39"/>
      <c r="E71" s="26">
        <v>0.372716</v>
      </c>
      <c r="F71" s="27">
        <v>0.035745</v>
      </c>
    </row>
    <row r="72" spans="1:6" ht="12.75" customHeight="1" thickBot="1">
      <c r="A72" s="80" t="s">
        <v>14</v>
      </c>
      <c r="B72" s="41">
        <f>SUM(C72:F72)</f>
        <v>5.102</v>
      </c>
      <c r="C72" s="42">
        <v>4.47</v>
      </c>
      <c r="D72" s="43"/>
      <c r="E72" s="43">
        <v>0.575</v>
      </c>
      <c r="F72" s="50">
        <v>0.057</v>
      </c>
    </row>
    <row r="73" spans="1:6" ht="12.75" customHeight="1" thickBot="1">
      <c r="A73" s="72" t="s">
        <v>33</v>
      </c>
      <c r="B73" s="44">
        <f>SUM(C73:F73)</f>
        <v>0</v>
      </c>
      <c r="C73" s="45">
        <f>C74+C82+C83</f>
        <v>0</v>
      </c>
      <c r="D73" s="45">
        <f>D74+D82+D83</f>
        <v>0</v>
      </c>
      <c r="E73" s="45">
        <f>E74+E82+E83</f>
        <v>0</v>
      </c>
      <c r="F73" s="46">
        <f>F74+F82+F83</f>
        <v>0</v>
      </c>
    </row>
    <row r="74" spans="1:6" ht="12.75" customHeight="1">
      <c r="A74" s="78" t="s">
        <v>10</v>
      </c>
      <c r="B74" s="17">
        <f aca="true" t="shared" si="4" ref="B74:B85">SUM(C74:F74)</f>
        <v>0</v>
      </c>
      <c r="C74" s="18">
        <f>C75+C76+C77+C78+C79+C80+C81</f>
        <v>0</v>
      </c>
      <c r="D74" s="18">
        <f>D75+D76+D77+D78+D79+D80+D81</f>
        <v>0</v>
      </c>
      <c r="E74" s="18">
        <f>E75+E76+E77+E78+E79+E80+E81</f>
        <v>0</v>
      </c>
      <c r="F74" s="19">
        <f>F75+F76+F77+F78+F79+F80+F81</f>
        <v>0</v>
      </c>
    </row>
    <row r="75" spans="1:6" ht="12.75" customHeight="1">
      <c r="A75" s="79" t="s">
        <v>4</v>
      </c>
      <c r="B75" s="35">
        <f t="shared" si="4"/>
        <v>0</v>
      </c>
      <c r="C75" s="36"/>
      <c r="D75" s="40"/>
      <c r="E75" s="40"/>
      <c r="F75" s="47"/>
    </row>
    <row r="76" spans="1:6" ht="12.75" customHeight="1">
      <c r="A76" s="79" t="s">
        <v>17</v>
      </c>
      <c r="B76" s="35">
        <f t="shared" si="4"/>
        <v>0</v>
      </c>
      <c r="C76" s="36"/>
      <c r="D76" s="40"/>
      <c r="E76" s="40"/>
      <c r="F76" s="47"/>
    </row>
    <row r="77" spans="1:6" ht="12.75" customHeight="1">
      <c r="A77" s="79" t="s">
        <v>5</v>
      </c>
      <c r="B77" s="35">
        <f t="shared" si="4"/>
        <v>0</v>
      </c>
      <c r="C77" s="36"/>
      <c r="D77" s="40"/>
      <c r="E77" s="40"/>
      <c r="F77" s="47"/>
    </row>
    <row r="78" spans="1:6" ht="12.75" customHeight="1">
      <c r="A78" s="79" t="s">
        <v>23</v>
      </c>
      <c r="B78" s="35">
        <f t="shared" si="4"/>
        <v>0</v>
      </c>
      <c r="C78" s="36"/>
      <c r="D78" s="36"/>
      <c r="E78" s="36"/>
      <c r="F78" s="48"/>
    </row>
    <row r="79" spans="1:6" ht="12.75" customHeight="1">
      <c r="A79" s="79" t="s">
        <v>24</v>
      </c>
      <c r="B79" s="35">
        <f t="shared" si="4"/>
        <v>0</v>
      </c>
      <c r="C79" s="36"/>
      <c r="D79" s="36"/>
      <c r="E79" s="36"/>
      <c r="F79" s="48"/>
    </row>
    <row r="80" spans="1:6" ht="12.75" customHeight="1">
      <c r="A80" s="79" t="s">
        <v>25</v>
      </c>
      <c r="B80" s="35">
        <f t="shared" si="4"/>
        <v>0</v>
      </c>
      <c r="C80" s="36"/>
      <c r="D80" s="36"/>
      <c r="E80" s="36"/>
      <c r="F80" s="48"/>
    </row>
    <row r="81" spans="1:6" ht="12.75" customHeight="1">
      <c r="A81" s="79" t="s">
        <v>26</v>
      </c>
      <c r="B81" s="35">
        <f t="shared" si="4"/>
        <v>0</v>
      </c>
      <c r="C81" s="36"/>
      <c r="D81" s="36"/>
      <c r="E81" s="36"/>
      <c r="F81" s="48"/>
    </row>
    <row r="82" spans="1:6" ht="12.75" customHeight="1">
      <c r="A82" s="78" t="s">
        <v>0</v>
      </c>
      <c r="B82" s="37">
        <f t="shared" si="4"/>
        <v>0</v>
      </c>
      <c r="C82" s="38"/>
      <c r="D82" s="39"/>
      <c r="E82" s="26"/>
      <c r="F82" s="27"/>
    </row>
    <row r="83" spans="1:6" ht="12.75" customHeight="1">
      <c r="A83" s="78" t="s">
        <v>12</v>
      </c>
      <c r="B83" s="37">
        <f t="shared" si="4"/>
        <v>0</v>
      </c>
      <c r="C83" s="38">
        <f>C84</f>
        <v>0</v>
      </c>
      <c r="D83" s="39">
        <f>D84</f>
        <v>0</v>
      </c>
      <c r="E83" s="39">
        <f>E84</f>
        <v>0</v>
      </c>
      <c r="F83" s="49">
        <f>F84</f>
        <v>0</v>
      </c>
    </row>
    <row r="84" spans="1:6" ht="12.75" customHeight="1">
      <c r="A84" s="79" t="s">
        <v>13</v>
      </c>
      <c r="B84" s="35">
        <f t="shared" si="4"/>
        <v>0</v>
      </c>
      <c r="C84" s="36"/>
      <c r="D84" s="40"/>
      <c r="E84" s="40"/>
      <c r="F84" s="47"/>
    </row>
    <row r="85" spans="1:6" ht="12.75" customHeight="1" thickBot="1">
      <c r="A85" s="80" t="s">
        <v>14</v>
      </c>
      <c r="B85" s="41">
        <f t="shared" si="4"/>
        <v>0</v>
      </c>
      <c r="C85" s="42"/>
      <c r="D85" s="43"/>
      <c r="E85" s="43"/>
      <c r="F85" s="50"/>
    </row>
    <row r="86" spans="1:6" ht="12.75" customHeight="1" thickBot="1">
      <c r="A86" s="72" t="s">
        <v>35</v>
      </c>
      <c r="B86" s="44">
        <f>SUM(C86:F86)</f>
        <v>2.521093</v>
      </c>
      <c r="C86" s="45">
        <f>C87+C95+C96</f>
        <v>2.495304</v>
      </c>
      <c r="D86" s="45">
        <f>D87+D95+D96</f>
        <v>0</v>
      </c>
      <c r="E86" s="45">
        <f>E87+E95+E96</f>
        <v>0</v>
      </c>
      <c r="F86" s="46">
        <f>F87+F95+F96</f>
        <v>0.025789</v>
      </c>
    </row>
    <row r="87" spans="1:6" ht="12.75" customHeight="1">
      <c r="A87" s="78" t="s">
        <v>10</v>
      </c>
      <c r="B87" s="17">
        <f aca="true" t="shared" si="5" ref="B87:B142">SUM(C87:F87)</f>
        <v>0</v>
      </c>
      <c r="C87" s="18">
        <f>C88+C89+C90+C91+C92+C93+C94</f>
        <v>0</v>
      </c>
      <c r="D87" s="18">
        <f>D88+D89+D90+D91+D92+D93+D94</f>
        <v>0</v>
      </c>
      <c r="E87" s="18">
        <f>E88+E89+E90+E91+E92+E93+E94</f>
        <v>0</v>
      </c>
      <c r="F87" s="19">
        <f>F88+F89+F90+F91+F92+F93+F94</f>
        <v>0</v>
      </c>
    </row>
    <row r="88" spans="1:6" ht="12.75" customHeight="1">
      <c r="A88" s="79" t="s">
        <v>4</v>
      </c>
      <c r="B88" s="35">
        <f t="shared" si="5"/>
        <v>0</v>
      </c>
      <c r="C88" s="36"/>
      <c r="D88" s="40"/>
      <c r="E88" s="40"/>
      <c r="F88" s="47"/>
    </row>
    <row r="89" spans="1:6" ht="12.75" customHeight="1">
      <c r="A89" s="79" t="s">
        <v>17</v>
      </c>
      <c r="B89" s="35">
        <f t="shared" si="5"/>
        <v>0</v>
      </c>
      <c r="C89" s="36"/>
      <c r="D89" s="40"/>
      <c r="E89" s="40"/>
      <c r="F89" s="47"/>
    </row>
    <row r="90" spans="1:6" ht="12.75" customHeight="1">
      <c r="A90" s="79" t="s">
        <v>5</v>
      </c>
      <c r="B90" s="35">
        <f t="shared" si="5"/>
        <v>0</v>
      </c>
      <c r="C90" s="36"/>
      <c r="D90" s="40"/>
      <c r="E90" s="40"/>
      <c r="F90" s="47"/>
    </row>
    <row r="91" spans="1:6" ht="12.75" customHeight="1">
      <c r="A91" s="79" t="s">
        <v>23</v>
      </c>
      <c r="B91" s="35">
        <f t="shared" si="5"/>
        <v>0</v>
      </c>
      <c r="C91" s="36"/>
      <c r="D91" s="36"/>
      <c r="E91" s="36"/>
      <c r="F91" s="48"/>
    </row>
    <row r="92" spans="1:6" ht="12.75" customHeight="1">
      <c r="A92" s="79" t="s">
        <v>24</v>
      </c>
      <c r="B92" s="35">
        <f t="shared" si="5"/>
        <v>0</v>
      </c>
      <c r="C92" s="36"/>
      <c r="D92" s="36"/>
      <c r="E92" s="36"/>
      <c r="F92" s="48"/>
    </row>
    <row r="93" spans="1:6" ht="12.75" customHeight="1">
      <c r="A93" s="79" t="s">
        <v>25</v>
      </c>
      <c r="B93" s="35">
        <f t="shared" si="5"/>
        <v>0</v>
      </c>
      <c r="C93" s="36"/>
      <c r="D93" s="36"/>
      <c r="E93" s="36"/>
      <c r="F93" s="48"/>
    </row>
    <row r="94" spans="1:6" ht="12.75">
      <c r="A94" s="79" t="s">
        <v>26</v>
      </c>
      <c r="B94" s="35">
        <f t="shared" si="5"/>
        <v>0</v>
      </c>
      <c r="C94" s="36"/>
      <c r="D94" s="36"/>
      <c r="E94" s="36"/>
      <c r="F94" s="48"/>
    </row>
    <row r="95" spans="1:6" ht="13.5">
      <c r="A95" s="78" t="s">
        <v>0</v>
      </c>
      <c r="B95" s="37">
        <f t="shared" si="5"/>
        <v>0.705403</v>
      </c>
      <c r="C95" s="38">
        <v>0.679614</v>
      </c>
      <c r="D95" s="39"/>
      <c r="E95" s="26"/>
      <c r="F95" s="27">
        <v>0.025789</v>
      </c>
    </row>
    <row r="96" spans="1:6" ht="13.5">
      <c r="A96" s="78" t="s">
        <v>12</v>
      </c>
      <c r="B96" s="37">
        <f t="shared" si="5"/>
        <v>1.81569</v>
      </c>
      <c r="C96" s="38">
        <f>C97</f>
        <v>1.81569</v>
      </c>
      <c r="D96" s="39">
        <f>D97</f>
        <v>0</v>
      </c>
      <c r="E96" s="39">
        <f>E97</f>
        <v>0</v>
      </c>
      <c r="F96" s="49">
        <f>F97</f>
        <v>0</v>
      </c>
    </row>
    <row r="97" spans="1:6" ht="12.75">
      <c r="A97" s="79" t="s">
        <v>13</v>
      </c>
      <c r="B97" s="35">
        <f t="shared" si="5"/>
        <v>1.81569</v>
      </c>
      <c r="C97" s="36">
        <v>1.81569</v>
      </c>
      <c r="D97" s="40"/>
      <c r="E97" s="40"/>
      <c r="F97" s="47"/>
    </row>
    <row r="98" spans="1:6" ht="13.5" thickBot="1">
      <c r="A98" s="80" t="s">
        <v>14</v>
      </c>
      <c r="B98" s="41">
        <f t="shared" si="5"/>
        <v>1.233</v>
      </c>
      <c r="C98" s="42">
        <v>1.233</v>
      </c>
      <c r="D98" s="43"/>
      <c r="E98" s="43"/>
      <c r="F98" s="50"/>
    </row>
    <row r="99" spans="1:6" ht="13.5" thickBot="1">
      <c r="A99" s="72" t="s">
        <v>18</v>
      </c>
      <c r="B99" s="44">
        <f t="shared" si="5"/>
        <v>5.4988399999999995</v>
      </c>
      <c r="C99" s="45">
        <f>C100+C108+C109</f>
        <v>0.5885499999999999</v>
      </c>
      <c r="D99" s="45">
        <f>D100+D108+D109</f>
        <v>0</v>
      </c>
      <c r="E99" s="45">
        <f>E100+E108+E109</f>
        <v>2.019485</v>
      </c>
      <c r="F99" s="46">
        <f>F100+F108+F109</f>
        <v>2.890805</v>
      </c>
    </row>
    <row r="100" spans="1:6" ht="13.5">
      <c r="A100" s="78" t="s">
        <v>10</v>
      </c>
      <c r="B100" s="17">
        <f t="shared" si="5"/>
        <v>2.154476</v>
      </c>
      <c r="C100" s="18">
        <f>C101+C102+C103+C104+C105+C106+C107</f>
        <v>0.075826</v>
      </c>
      <c r="D100" s="18">
        <f>D101+D102+D103+D104+D105+D106+D107</f>
        <v>0</v>
      </c>
      <c r="E100" s="18">
        <f>E101+E102+E103+E104+E105+E106+E107</f>
        <v>0.145509</v>
      </c>
      <c r="F100" s="19">
        <f>F101+F102+F103+F104+F105+F106+F107</f>
        <v>1.9331409999999998</v>
      </c>
    </row>
    <row r="101" spans="1:6" ht="12.75">
      <c r="A101" s="79" t="s">
        <v>4</v>
      </c>
      <c r="B101" s="35">
        <f t="shared" si="5"/>
        <v>1.363012</v>
      </c>
      <c r="C101" s="36"/>
      <c r="D101" s="40"/>
      <c r="E101" s="40">
        <v>0.020265</v>
      </c>
      <c r="F101" s="47">
        <v>1.342747</v>
      </c>
    </row>
    <row r="102" spans="1:6" ht="12.75">
      <c r="A102" s="79" t="s">
        <v>17</v>
      </c>
      <c r="B102" s="35">
        <f t="shared" si="5"/>
        <v>0</v>
      </c>
      <c r="C102" s="36"/>
      <c r="D102" s="40"/>
      <c r="E102" s="40"/>
      <c r="F102" s="47"/>
    </row>
    <row r="103" spans="1:6" ht="12.75">
      <c r="A103" s="79" t="s">
        <v>5</v>
      </c>
      <c r="B103" s="35">
        <f t="shared" si="5"/>
        <v>0.585229</v>
      </c>
      <c r="C103" s="36"/>
      <c r="D103" s="40"/>
      <c r="E103" s="40">
        <v>0.005</v>
      </c>
      <c r="F103" s="47">
        <v>0.580229</v>
      </c>
    </row>
    <row r="104" spans="1:6" ht="12.75">
      <c r="A104" s="79" t="s">
        <v>23</v>
      </c>
      <c r="B104" s="35">
        <f t="shared" si="5"/>
        <v>0</v>
      </c>
      <c r="C104" s="36"/>
      <c r="D104" s="36"/>
      <c r="E104" s="36"/>
      <c r="F104" s="48"/>
    </row>
    <row r="105" spans="1:6" ht="12.75">
      <c r="A105" s="79" t="s">
        <v>24</v>
      </c>
      <c r="B105" s="35">
        <f t="shared" si="5"/>
        <v>0.010165</v>
      </c>
      <c r="C105" s="36"/>
      <c r="D105" s="36"/>
      <c r="E105" s="36"/>
      <c r="F105" s="48">
        <v>0.010165</v>
      </c>
    </row>
    <row r="106" spans="1:6" ht="12.75">
      <c r="A106" s="79" t="s">
        <v>25</v>
      </c>
      <c r="B106" s="35">
        <f t="shared" si="5"/>
        <v>0.19607000000000002</v>
      </c>
      <c r="C106" s="36">
        <v>0.075826</v>
      </c>
      <c r="D106" s="36"/>
      <c r="E106" s="36">
        <v>0.120244</v>
      </c>
      <c r="F106" s="48"/>
    </row>
    <row r="107" spans="1:6" ht="12.75">
      <c r="A107" s="79" t="s">
        <v>26</v>
      </c>
      <c r="B107" s="35">
        <f t="shared" si="5"/>
        <v>0</v>
      </c>
      <c r="C107" s="36"/>
      <c r="D107" s="36"/>
      <c r="E107" s="36"/>
      <c r="F107" s="48"/>
    </row>
    <row r="108" spans="1:6" ht="13.5">
      <c r="A108" s="78" t="s">
        <v>0</v>
      </c>
      <c r="B108" s="37">
        <f t="shared" si="5"/>
        <v>2.9556009999999997</v>
      </c>
      <c r="C108" s="38">
        <v>0.512724</v>
      </c>
      <c r="D108" s="39"/>
      <c r="E108" s="26">
        <v>1.583974</v>
      </c>
      <c r="F108" s="27">
        <v>0.858903</v>
      </c>
    </row>
    <row r="109" spans="1:6" ht="13.5">
      <c r="A109" s="78" t="s">
        <v>12</v>
      </c>
      <c r="B109" s="37">
        <f t="shared" si="5"/>
        <v>0.38876299999999997</v>
      </c>
      <c r="C109" s="38">
        <f>C110</f>
        <v>0</v>
      </c>
      <c r="D109" s="39">
        <f>D110</f>
        <v>0</v>
      </c>
      <c r="E109" s="39">
        <f>E110</f>
        <v>0.290002</v>
      </c>
      <c r="F109" s="49">
        <f>F110</f>
        <v>0.098761</v>
      </c>
    </row>
    <row r="110" spans="1:6" ht="12.75">
      <c r="A110" s="79" t="s">
        <v>13</v>
      </c>
      <c r="B110" s="35">
        <f t="shared" si="5"/>
        <v>0.38876299999999997</v>
      </c>
      <c r="C110" s="36"/>
      <c r="D110" s="40"/>
      <c r="E110" s="40">
        <v>0.290002</v>
      </c>
      <c r="F110" s="47">
        <v>0.098761</v>
      </c>
    </row>
    <row r="111" spans="1:6" ht="13.5" thickBot="1">
      <c r="A111" s="80" t="s">
        <v>14</v>
      </c>
      <c r="B111" s="41">
        <f t="shared" si="5"/>
        <v>0.611</v>
      </c>
      <c r="C111" s="42"/>
      <c r="D111" s="43"/>
      <c r="E111" s="247">
        <v>0.433</v>
      </c>
      <c r="F111" s="50">
        <v>0.178</v>
      </c>
    </row>
    <row r="112" spans="1:6" ht="13.5" thickBot="1">
      <c r="A112" s="72" t="s">
        <v>28</v>
      </c>
      <c r="B112" s="44">
        <f t="shared" si="5"/>
        <v>2.706317</v>
      </c>
      <c r="C112" s="45">
        <f>C113+C121+C122</f>
        <v>1.387693</v>
      </c>
      <c r="D112" s="45">
        <f>D113+D121+D122</f>
        <v>0</v>
      </c>
      <c r="E112" s="45">
        <f>E113+E121+E122</f>
        <v>0.7743140000000001</v>
      </c>
      <c r="F112" s="46">
        <f>F113+F121+F122</f>
        <v>0.54431</v>
      </c>
    </row>
    <row r="113" spans="1:6" ht="13.5">
      <c r="A113" s="78" t="s">
        <v>10</v>
      </c>
      <c r="B113" s="17">
        <f t="shared" si="5"/>
        <v>0.510466</v>
      </c>
      <c r="C113" s="18">
        <f>C114+C115+C116+C117+C118+C119+C120</f>
        <v>0.001141</v>
      </c>
      <c r="D113" s="18">
        <f>D114+D115+D116+D117+D118+D119+D120</f>
        <v>0</v>
      </c>
      <c r="E113" s="18">
        <f>E114+E115+E116+E117+E118+E119+E120</f>
        <v>0</v>
      </c>
      <c r="F113" s="19">
        <f>F114+F115+F116+F117+F118+F119+F120</f>
        <v>0.509325</v>
      </c>
    </row>
    <row r="114" spans="1:6" ht="12.75">
      <c r="A114" s="79" t="s">
        <v>4</v>
      </c>
      <c r="B114" s="35">
        <f>SUM(C114:F114)</f>
        <v>0.494058</v>
      </c>
      <c r="C114" s="36"/>
      <c r="D114" s="40"/>
      <c r="E114" s="40"/>
      <c r="F114" s="47">
        <v>0.494058</v>
      </c>
    </row>
    <row r="115" spans="1:6" ht="12.75">
      <c r="A115" s="79" t="s">
        <v>17</v>
      </c>
      <c r="B115" s="35">
        <f>SUM(C115:F115)</f>
        <v>0.015267</v>
      </c>
      <c r="C115" s="36"/>
      <c r="D115" s="40"/>
      <c r="E115" s="40"/>
      <c r="F115" s="47">
        <v>0.015267</v>
      </c>
    </row>
    <row r="116" spans="1:6" ht="12.75">
      <c r="A116" s="79" t="s">
        <v>5</v>
      </c>
      <c r="B116" s="35">
        <f t="shared" si="5"/>
        <v>0</v>
      </c>
      <c r="C116" s="36"/>
      <c r="D116" s="40"/>
      <c r="E116" s="40"/>
      <c r="F116" s="47"/>
    </row>
    <row r="117" spans="1:6" ht="12.75">
      <c r="A117" s="79" t="s">
        <v>23</v>
      </c>
      <c r="B117" s="35">
        <f t="shared" si="5"/>
        <v>0</v>
      </c>
      <c r="C117" s="36"/>
      <c r="D117" s="36"/>
      <c r="E117" s="36"/>
      <c r="F117" s="48"/>
    </row>
    <row r="118" spans="1:6" ht="12.75">
      <c r="A118" s="79" t="s">
        <v>24</v>
      </c>
      <c r="B118" s="35">
        <f t="shared" si="5"/>
        <v>0</v>
      </c>
      <c r="C118" s="36"/>
      <c r="D118" s="36"/>
      <c r="E118" s="36"/>
      <c r="F118" s="48"/>
    </row>
    <row r="119" spans="1:6" ht="12.75">
      <c r="A119" s="79" t="s">
        <v>25</v>
      </c>
      <c r="B119" s="35">
        <f t="shared" si="5"/>
        <v>0</v>
      </c>
      <c r="C119" s="36"/>
      <c r="D119" s="36"/>
      <c r="E119" s="36"/>
      <c r="F119" s="48"/>
    </row>
    <row r="120" spans="1:6" ht="12.75">
      <c r="A120" s="79" t="s">
        <v>26</v>
      </c>
      <c r="B120" s="35">
        <f t="shared" si="5"/>
        <v>0.001141</v>
      </c>
      <c r="C120" s="36">
        <v>0.001141</v>
      </c>
      <c r="D120" s="36"/>
      <c r="E120" s="36"/>
      <c r="F120" s="48"/>
    </row>
    <row r="121" spans="1:6" ht="13.5">
      <c r="A121" s="78" t="s">
        <v>0</v>
      </c>
      <c r="B121" s="37">
        <f t="shared" si="5"/>
        <v>2.163658</v>
      </c>
      <c r="C121" s="38">
        <v>1.386552</v>
      </c>
      <c r="D121" s="39"/>
      <c r="E121" s="26">
        <v>0.750143</v>
      </c>
      <c r="F121" s="27">
        <v>0.026963</v>
      </c>
    </row>
    <row r="122" spans="1:6" ht="13.5">
      <c r="A122" s="78" t="s">
        <v>12</v>
      </c>
      <c r="B122" s="37">
        <f t="shared" si="5"/>
        <v>0.032193</v>
      </c>
      <c r="C122" s="38"/>
      <c r="D122" s="39">
        <f>D123</f>
        <v>0</v>
      </c>
      <c r="E122" s="39">
        <f>E123</f>
        <v>0.024171</v>
      </c>
      <c r="F122" s="49">
        <f>F123</f>
        <v>0.008022</v>
      </c>
    </row>
    <row r="123" spans="1:6" ht="12.75">
      <c r="A123" s="79" t="s">
        <v>13</v>
      </c>
      <c r="B123" s="35">
        <f t="shared" si="5"/>
        <v>0.032193</v>
      </c>
      <c r="C123" s="36"/>
      <c r="D123" s="40"/>
      <c r="E123" s="40">
        <v>0.024171</v>
      </c>
      <c r="F123" s="47">
        <v>0.008022</v>
      </c>
    </row>
    <row r="124" spans="1:6" ht="13.5" thickBot="1">
      <c r="A124" s="80" t="s">
        <v>14</v>
      </c>
      <c r="B124" s="41">
        <f t="shared" si="5"/>
        <v>0.063</v>
      </c>
      <c r="C124" s="42"/>
      <c r="D124" s="43"/>
      <c r="E124" s="43">
        <v>0.05</v>
      </c>
      <c r="F124" s="50">
        <v>0.013</v>
      </c>
    </row>
    <row r="125" spans="1:6" ht="13.5" thickBot="1">
      <c r="A125" s="72" t="s">
        <v>19</v>
      </c>
      <c r="B125" s="44">
        <f t="shared" si="5"/>
        <v>3.218103</v>
      </c>
      <c r="C125" s="45">
        <f>C126+C134+C135</f>
        <v>1.384981</v>
      </c>
      <c r="D125" s="45">
        <f>D126+D134+D135</f>
        <v>0</v>
      </c>
      <c r="E125" s="45">
        <f>E126+E134+E135</f>
        <v>1.121834</v>
      </c>
      <c r="F125" s="46">
        <f>F126+F134+F135</f>
        <v>0.711288</v>
      </c>
    </row>
    <row r="126" spans="1:6" ht="13.5">
      <c r="A126" s="78" t="s">
        <v>10</v>
      </c>
      <c r="B126" s="17">
        <f t="shared" si="5"/>
        <v>0.5243</v>
      </c>
      <c r="C126" s="18">
        <f>C127+C128+C129+C130+C131+C132+C133</f>
        <v>0</v>
      </c>
      <c r="D126" s="18">
        <f>D127+D128+D129+D130+D131+D132+D133</f>
        <v>0</v>
      </c>
      <c r="E126" s="18">
        <f>E127+E128+E129+E130+E131+E132+E133</f>
        <v>0.092832</v>
      </c>
      <c r="F126" s="19">
        <f>F127+F128+F129+F130+F131+F132+F133</f>
        <v>0.431468</v>
      </c>
    </row>
    <row r="127" spans="1:6" ht="12.75">
      <c r="A127" s="79" t="s">
        <v>4</v>
      </c>
      <c r="B127" s="35">
        <f t="shared" si="5"/>
        <v>0.175693</v>
      </c>
      <c r="C127" s="36"/>
      <c r="D127" s="40"/>
      <c r="E127" s="40">
        <v>0.051659</v>
      </c>
      <c r="F127" s="47">
        <v>0.124034</v>
      </c>
    </row>
    <row r="128" spans="1:6" ht="12.75">
      <c r="A128" s="79" t="s">
        <v>17</v>
      </c>
      <c r="B128" s="35">
        <f t="shared" si="5"/>
        <v>0.049241</v>
      </c>
      <c r="C128" s="36"/>
      <c r="D128" s="40"/>
      <c r="E128" s="40">
        <v>0.036071</v>
      </c>
      <c r="F128" s="47">
        <v>0.01317</v>
      </c>
    </row>
    <row r="129" spans="1:6" ht="12.75">
      <c r="A129" s="79" t="s">
        <v>5</v>
      </c>
      <c r="B129" s="35">
        <f t="shared" si="5"/>
        <v>0.298798</v>
      </c>
      <c r="C129" s="36"/>
      <c r="D129" s="40"/>
      <c r="E129" s="40">
        <v>0.004534</v>
      </c>
      <c r="F129" s="47">
        <v>0.294264</v>
      </c>
    </row>
    <row r="130" spans="1:6" ht="12.75">
      <c r="A130" s="79" t="s">
        <v>23</v>
      </c>
      <c r="B130" s="35">
        <f t="shared" si="5"/>
        <v>0</v>
      </c>
      <c r="C130" s="36"/>
      <c r="D130" s="36"/>
      <c r="E130" s="36"/>
      <c r="F130" s="48"/>
    </row>
    <row r="131" spans="1:6" ht="12.75">
      <c r="A131" s="79" t="s">
        <v>24</v>
      </c>
      <c r="B131" s="35">
        <f t="shared" si="5"/>
        <v>0.000106</v>
      </c>
      <c r="C131" s="36"/>
      <c r="D131" s="36"/>
      <c r="E131" s="36">
        <v>0.000106</v>
      </c>
      <c r="F131" s="48"/>
    </row>
    <row r="132" spans="1:6" ht="12.75">
      <c r="A132" s="79" t="s">
        <v>25</v>
      </c>
      <c r="B132" s="35">
        <f t="shared" si="5"/>
        <v>0</v>
      </c>
      <c r="C132" s="36"/>
      <c r="D132" s="36"/>
      <c r="E132" s="36"/>
      <c r="F132" s="48"/>
    </row>
    <row r="133" spans="1:6" ht="12.75">
      <c r="A133" s="79" t="s">
        <v>26</v>
      </c>
      <c r="B133" s="35">
        <f t="shared" si="5"/>
        <v>0.000462</v>
      </c>
      <c r="C133" s="36"/>
      <c r="D133" s="36"/>
      <c r="E133" s="36">
        <v>0.000462</v>
      </c>
      <c r="F133" s="48"/>
    </row>
    <row r="134" spans="1:6" ht="13.5">
      <c r="A134" s="78" t="s">
        <v>0</v>
      </c>
      <c r="B134" s="37">
        <f t="shared" si="5"/>
        <v>2.190502</v>
      </c>
      <c r="C134" s="38">
        <v>1.205699</v>
      </c>
      <c r="D134" s="39"/>
      <c r="E134" s="26">
        <v>0.775432</v>
      </c>
      <c r="F134" s="27">
        <v>0.209371</v>
      </c>
    </row>
    <row r="135" spans="1:6" ht="13.5">
      <c r="A135" s="78" t="s">
        <v>12</v>
      </c>
      <c r="B135" s="37">
        <f t="shared" si="5"/>
        <v>0.503301</v>
      </c>
      <c r="C135" s="38">
        <f>C136</f>
        <v>0.179282</v>
      </c>
      <c r="D135" s="39">
        <f>D136</f>
        <v>0</v>
      </c>
      <c r="E135" s="39">
        <f>E136</f>
        <v>0.25357</v>
      </c>
      <c r="F135" s="49">
        <f>F136</f>
        <v>0.070449</v>
      </c>
    </row>
    <row r="136" spans="1:6" ht="12.75">
      <c r="A136" s="79" t="s">
        <v>13</v>
      </c>
      <c r="B136" s="35">
        <f t="shared" si="5"/>
        <v>0.503301</v>
      </c>
      <c r="C136" s="36">
        <v>0.179282</v>
      </c>
      <c r="D136" s="40"/>
      <c r="E136" s="36">
        <v>0.25357</v>
      </c>
      <c r="F136" s="47">
        <v>0.070449</v>
      </c>
    </row>
    <row r="137" spans="1:6" ht="13.5" thickBot="1">
      <c r="A137" s="80" t="s">
        <v>14</v>
      </c>
      <c r="B137" s="41">
        <f t="shared" si="5"/>
        <v>0.7939999999999999</v>
      </c>
      <c r="C137" s="42">
        <v>0.289</v>
      </c>
      <c r="D137" s="43"/>
      <c r="E137" s="42">
        <v>0.385</v>
      </c>
      <c r="F137" s="50">
        <v>0.12</v>
      </c>
    </row>
    <row r="138" spans="1:6" ht="13.5" thickBot="1">
      <c r="A138" s="72" t="s">
        <v>20</v>
      </c>
      <c r="B138" s="44">
        <f t="shared" si="5"/>
        <v>0.6806840000000001</v>
      </c>
      <c r="C138" s="45">
        <f>C139+C147+C148</f>
        <v>0</v>
      </c>
      <c r="D138" s="45">
        <f>D139+D147+D148</f>
        <v>0</v>
      </c>
      <c r="E138" s="45">
        <f>E139+E147+E148</f>
        <v>0.251643</v>
      </c>
      <c r="F138" s="46">
        <f>F139+F147</f>
        <v>0.429041</v>
      </c>
    </row>
    <row r="139" spans="1:6" ht="13.5">
      <c r="A139" s="78" t="s">
        <v>10</v>
      </c>
      <c r="B139" s="17">
        <f t="shared" si="5"/>
        <v>0.294294</v>
      </c>
      <c r="C139" s="18">
        <f>C140+C141+C142+C143+C144+C145+C146</f>
        <v>0</v>
      </c>
      <c r="D139" s="18">
        <f>D140+D141+D142+D143+D144+D145+D146</f>
        <v>0</v>
      </c>
      <c r="E139" s="18">
        <f>E140+E141+E142+E143+E144+E145+E146</f>
        <v>0</v>
      </c>
      <c r="F139" s="19">
        <f>F140+F141+F142+F143+F144+F145+F146</f>
        <v>0.294294</v>
      </c>
    </row>
    <row r="140" spans="1:6" ht="12.75">
      <c r="A140" s="79" t="s">
        <v>4</v>
      </c>
      <c r="B140" s="35">
        <f t="shared" si="5"/>
        <v>0.238557</v>
      </c>
      <c r="C140" s="36"/>
      <c r="D140" s="36"/>
      <c r="E140" s="36"/>
      <c r="F140" s="48">
        <v>0.238557</v>
      </c>
    </row>
    <row r="141" spans="1:6" ht="12.75">
      <c r="A141" s="79" t="s">
        <v>17</v>
      </c>
      <c r="B141" s="35">
        <f t="shared" si="5"/>
        <v>0</v>
      </c>
      <c r="C141" s="36"/>
      <c r="D141" s="36"/>
      <c r="E141" s="36"/>
      <c r="F141" s="48"/>
    </row>
    <row r="142" spans="1:6" ht="12.75">
      <c r="A142" s="79" t="s">
        <v>5</v>
      </c>
      <c r="B142" s="35">
        <f t="shared" si="5"/>
        <v>0.055737</v>
      </c>
      <c r="C142" s="36"/>
      <c r="D142" s="36"/>
      <c r="E142" s="36"/>
      <c r="F142" s="48">
        <v>0.055737</v>
      </c>
    </row>
    <row r="143" spans="1:6" ht="12.75">
      <c r="A143" s="79" t="s">
        <v>23</v>
      </c>
      <c r="B143" s="35">
        <f>SUM(C143:F143)</f>
        <v>0</v>
      </c>
      <c r="C143" s="36"/>
      <c r="D143" s="36"/>
      <c r="E143" s="36"/>
      <c r="F143" s="48"/>
    </row>
    <row r="144" spans="1:6" ht="12.75">
      <c r="A144" s="79" t="s">
        <v>24</v>
      </c>
      <c r="B144" s="35">
        <f>SUM(C144:F144)</f>
        <v>0</v>
      </c>
      <c r="C144" s="36"/>
      <c r="D144" s="36"/>
      <c r="E144" s="36"/>
      <c r="F144" s="48"/>
    </row>
    <row r="145" spans="1:6" ht="12.75">
      <c r="A145" s="79" t="s">
        <v>25</v>
      </c>
      <c r="B145" s="35">
        <f>SUM(C145:F145)</f>
        <v>0</v>
      </c>
      <c r="C145" s="36"/>
      <c r="D145" s="36"/>
      <c r="E145" s="36"/>
      <c r="F145" s="48"/>
    </row>
    <row r="146" spans="1:6" ht="12.75">
      <c r="A146" s="79" t="s">
        <v>26</v>
      </c>
      <c r="B146" s="35">
        <f>SUM(C146:F146)</f>
        <v>0</v>
      </c>
      <c r="C146" s="36"/>
      <c r="D146" s="36"/>
      <c r="E146" s="36"/>
      <c r="F146" s="48"/>
    </row>
    <row r="147" spans="1:6" ht="13.5">
      <c r="A147" s="78" t="s">
        <v>0</v>
      </c>
      <c r="B147" s="23">
        <f>SUM(C147:F147)</f>
        <v>0.33558699999999997</v>
      </c>
      <c r="C147" s="36"/>
      <c r="D147" s="24"/>
      <c r="E147" s="24">
        <v>0.20084</v>
      </c>
      <c r="F147" s="25">
        <v>0.134747</v>
      </c>
    </row>
    <row r="148" spans="1:6" ht="13.5">
      <c r="A148" s="78" t="s">
        <v>12</v>
      </c>
      <c r="B148" s="37">
        <f>SUM(C148:F148)</f>
        <v>0.050803</v>
      </c>
      <c r="C148" s="38">
        <f>C149</f>
        <v>0</v>
      </c>
      <c r="D148" s="39">
        <f>D149</f>
        <v>0</v>
      </c>
      <c r="E148" s="39">
        <f>E149</f>
        <v>0.050803</v>
      </c>
      <c r="F148" s="49">
        <f>F149</f>
        <v>0</v>
      </c>
    </row>
    <row r="149" spans="1:6" ht="12.75">
      <c r="A149" s="79" t="s">
        <v>13</v>
      </c>
      <c r="B149" s="35">
        <f>SUM(C149:F149)</f>
        <v>0.050803</v>
      </c>
      <c r="C149" s="36"/>
      <c r="D149" s="40"/>
      <c r="E149" s="40">
        <v>0.050803</v>
      </c>
      <c r="F149" s="47"/>
    </row>
    <row r="150" spans="1:6" ht="13.5" thickBot="1">
      <c r="A150" s="80" t="s">
        <v>14</v>
      </c>
      <c r="B150" s="41">
        <f>SUM(C150:F150)</f>
        <v>0.072</v>
      </c>
      <c r="C150" s="42"/>
      <c r="D150" s="43"/>
      <c r="E150" s="43">
        <v>0.072</v>
      </c>
      <c r="F150" s="50"/>
    </row>
    <row r="151" spans="1:6" ht="13.5" thickBot="1">
      <c r="A151" s="72" t="s">
        <v>21</v>
      </c>
      <c r="B151" s="141">
        <f>SUM(C151:F151)</f>
        <v>2.373354</v>
      </c>
      <c r="C151" s="142">
        <f>C152+C160+C161</f>
        <v>0</v>
      </c>
      <c r="D151" s="142">
        <f>D152+D160+D161</f>
        <v>0</v>
      </c>
      <c r="E151" s="142">
        <f>E152+E160+E161</f>
        <v>1.4268429999999999</v>
      </c>
      <c r="F151" s="143">
        <f>F152+F160+F161</f>
        <v>0.946511</v>
      </c>
    </row>
    <row r="152" spans="1:6" ht="13.5">
      <c r="A152" s="78" t="s">
        <v>10</v>
      </c>
      <c r="B152" s="159">
        <f>SUM(C152:F152)</f>
        <v>1.072527</v>
      </c>
      <c r="C152" s="160">
        <f>C153+C154+C155+C156+C157+C158+C159</f>
        <v>0</v>
      </c>
      <c r="D152" s="160">
        <f>D153+D154+D155+D156+D157+D158+D159</f>
        <v>0</v>
      </c>
      <c r="E152" s="160">
        <f>E153+E154+E155+E156+E157+E158+E159</f>
        <v>0.417773</v>
      </c>
      <c r="F152" s="166">
        <f>F153+F154+F155+F156+F157+F158+F159</f>
        <v>0.6547540000000001</v>
      </c>
    </row>
    <row r="153" spans="1:6" ht="12.75">
      <c r="A153" s="79" t="s">
        <v>4</v>
      </c>
      <c r="B153" s="148">
        <f>SUM(C153:F153)</f>
        <v>0.624241</v>
      </c>
      <c r="C153" s="149"/>
      <c r="D153" s="150"/>
      <c r="E153" s="150">
        <v>0.252529</v>
      </c>
      <c r="F153" s="151">
        <v>0.371712</v>
      </c>
    </row>
    <row r="154" spans="1:6" ht="12.75">
      <c r="A154" s="79" t="s">
        <v>17</v>
      </c>
      <c r="B154" s="148">
        <f>SUM(C154:F154)</f>
        <v>0.264994</v>
      </c>
      <c r="C154" s="149"/>
      <c r="D154" s="150"/>
      <c r="E154" s="150">
        <v>0.164334</v>
      </c>
      <c r="F154" s="151">
        <v>0.10066</v>
      </c>
    </row>
    <row r="155" spans="1:6" ht="12.75">
      <c r="A155" s="79" t="s">
        <v>5</v>
      </c>
      <c r="B155" s="148">
        <f>SUM(C155:F155)</f>
        <v>0.180516</v>
      </c>
      <c r="C155" s="149"/>
      <c r="D155" s="150"/>
      <c r="E155" s="150"/>
      <c r="F155" s="151">
        <v>0.180516</v>
      </c>
    </row>
    <row r="156" spans="1:6" ht="12.75">
      <c r="A156" s="79" t="s">
        <v>23</v>
      </c>
      <c r="B156" s="148">
        <f>SUM(C156:F156)</f>
        <v>0</v>
      </c>
      <c r="C156" s="149"/>
      <c r="D156" s="149"/>
      <c r="E156" s="149"/>
      <c r="F156" s="152"/>
    </row>
    <row r="157" spans="1:6" ht="12.75">
      <c r="A157" s="79" t="s">
        <v>24</v>
      </c>
      <c r="B157" s="148">
        <f>SUM(C157:F157)</f>
        <v>0.001715</v>
      </c>
      <c r="C157" s="149"/>
      <c r="D157" s="149"/>
      <c r="E157" s="149"/>
      <c r="F157" s="152">
        <v>0.001715</v>
      </c>
    </row>
    <row r="158" spans="1:6" ht="12.75">
      <c r="A158" s="79" t="s">
        <v>25</v>
      </c>
      <c r="B158" s="148">
        <f>SUM(C158:F158)</f>
        <v>0</v>
      </c>
      <c r="C158" s="149"/>
      <c r="D158" s="149"/>
      <c r="E158" s="149"/>
      <c r="F158" s="152"/>
    </row>
    <row r="159" spans="1:6" ht="12.75">
      <c r="A159" s="79" t="s">
        <v>26</v>
      </c>
      <c r="B159" s="148">
        <f>SUM(C159:F159)</f>
        <v>0.001061</v>
      </c>
      <c r="C159" s="149"/>
      <c r="D159" s="149"/>
      <c r="E159" s="149">
        <v>0.00091</v>
      </c>
      <c r="F159" s="152">
        <v>0.000151</v>
      </c>
    </row>
    <row r="160" spans="1:6" ht="13.5">
      <c r="A160" s="78" t="s">
        <v>0</v>
      </c>
      <c r="B160" s="144">
        <f>SUM(C160:F160)</f>
        <v>0.9939739999999999</v>
      </c>
      <c r="C160" s="145"/>
      <c r="D160" s="146"/>
      <c r="E160" s="153">
        <v>0.767739</v>
      </c>
      <c r="F160" s="154">
        <v>0.226235</v>
      </c>
    </row>
    <row r="161" spans="1:6" ht="13.5">
      <c r="A161" s="78" t="s">
        <v>12</v>
      </c>
      <c r="B161" s="144">
        <f>SUM(C161:F161)</f>
        <v>0.306853</v>
      </c>
      <c r="C161" s="145">
        <f>C162</f>
        <v>0</v>
      </c>
      <c r="D161" s="146">
        <f>D162</f>
        <v>0</v>
      </c>
      <c r="E161" s="146">
        <f>E162</f>
        <v>0.241331</v>
      </c>
      <c r="F161" s="147">
        <f>F162</f>
        <v>0.065522</v>
      </c>
    </row>
    <row r="162" spans="1:6" ht="12.75">
      <c r="A162" s="79" t="s">
        <v>13</v>
      </c>
      <c r="B162" s="148">
        <f>SUM(C162:F162)</f>
        <v>0.306853</v>
      </c>
      <c r="C162" s="149"/>
      <c r="D162" s="150"/>
      <c r="E162" s="150">
        <v>0.241331</v>
      </c>
      <c r="F162" s="151">
        <v>0.065522</v>
      </c>
    </row>
    <row r="163" spans="1:6" ht="13.5" thickBot="1">
      <c r="A163" s="80" t="s">
        <v>14</v>
      </c>
      <c r="B163" s="155">
        <f>SUM(C163:F163)</f>
        <v>0.43700000000000006</v>
      </c>
      <c r="C163" s="156"/>
      <c r="D163" s="157"/>
      <c r="E163" s="157">
        <v>0.341</v>
      </c>
      <c r="F163" s="158">
        <v>0.096</v>
      </c>
    </row>
    <row r="164" spans="1:6" ht="13.5" thickBot="1">
      <c r="A164" s="72" t="s">
        <v>22</v>
      </c>
      <c r="B164" s="44">
        <f>SUM(C164:F164)</f>
        <v>2.7641020000000003</v>
      </c>
      <c r="C164" s="45">
        <f>C165+C173+C174</f>
        <v>0</v>
      </c>
      <c r="D164" s="45">
        <f>D165+D173+D174</f>
        <v>0</v>
      </c>
      <c r="E164" s="45">
        <f>E165+E173+E174</f>
        <v>1.636438</v>
      </c>
      <c r="F164" s="46">
        <f>F165+F173+F174</f>
        <v>1.127664</v>
      </c>
    </row>
    <row r="165" spans="1:6" ht="13.5">
      <c r="A165" s="78" t="s">
        <v>10</v>
      </c>
      <c r="B165" s="17">
        <f>SUM(C165:F165)</f>
        <v>1.6730649999999998</v>
      </c>
      <c r="C165" s="18">
        <f>C166+C167+C168+C169+C170+C171+C172</f>
        <v>0</v>
      </c>
      <c r="D165" s="18">
        <f>D166+D167+D168+D169+D170+D171+D172</f>
        <v>0</v>
      </c>
      <c r="E165" s="18">
        <f>E166+E167+E168+E169+E170+E171+E172</f>
        <v>0.74315</v>
      </c>
      <c r="F165" s="19">
        <f>F166+F167+F168+F169+F170+F171+F172</f>
        <v>0.9299149999999999</v>
      </c>
    </row>
    <row r="166" spans="1:6" ht="13.5">
      <c r="A166" s="78" t="s">
        <v>4</v>
      </c>
      <c r="B166" s="35">
        <f>SUM(C166:F166)</f>
        <v>1.155846</v>
      </c>
      <c r="C166" s="36"/>
      <c r="D166" s="40"/>
      <c r="E166" s="40">
        <v>0.45651</v>
      </c>
      <c r="F166" s="47">
        <v>0.699336</v>
      </c>
    </row>
    <row r="167" spans="1:6" ht="13.5">
      <c r="A167" s="78" t="s">
        <v>17</v>
      </c>
      <c r="B167" s="35">
        <f>SUM(C167:F167)</f>
        <v>0.451823</v>
      </c>
      <c r="C167" s="36"/>
      <c r="D167" s="40"/>
      <c r="E167" s="40">
        <v>0.270694</v>
      </c>
      <c r="F167" s="47">
        <v>0.181129</v>
      </c>
    </row>
    <row r="168" spans="1:6" ht="13.5">
      <c r="A168" s="78" t="s">
        <v>5</v>
      </c>
      <c r="B168" s="35">
        <f>SUM(C168:F168)</f>
        <v>0.057314000000000004</v>
      </c>
      <c r="C168" s="36"/>
      <c r="D168" s="40"/>
      <c r="E168" s="40">
        <v>0.008502</v>
      </c>
      <c r="F168" s="47">
        <v>0.048812</v>
      </c>
    </row>
    <row r="169" spans="1:6" ht="12.75">
      <c r="A169" s="79" t="s">
        <v>23</v>
      </c>
      <c r="B169" s="35">
        <f>SUM(C169:F169)</f>
        <v>0</v>
      </c>
      <c r="C169" s="36"/>
      <c r="D169" s="36"/>
      <c r="E169" s="36"/>
      <c r="F169" s="48"/>
    </row>
    <row r="170" spans="1:6" ht="12.75">
      <c r="A170" s="79" t="s">
        <v>24</v>
      </c>
      <c r="B170" s="35">
        <f>SUM(C170:F170)</f>
        <v>0.007015</v>
      </c>
      <c r="C170" s="36"/>
      <c r="D170" s="36"/>
      <c r="E170" s="36">
        <v>0.007015</v>
      </c>
      <c r="F170" s="48"/>
    </row>
    <row r="171" spans="1:6" ht="12.75">
      <c r="A171" s="79" t="s">
        <v>25</v>
      </c>
      <c r="B171" s="35">
        <f>SUM(C171:F171)</f>
        <v>0</v>
      </c>
      <c r="C171" s="36"/>
      <c r="D171" s="36"/>
      <c r="E171" s="36"/>
      <c r="F171" s="48"/>
    </row>
    <row r="172" spans="1:6" ht="12.75">
      <c r="A172" s="79" t="s">
        <v>26</v>
      </c>
      <c r="B172" s="35">
        <f>SUM(C172:F172)</f>
        <v>0.001067</v>
      </c>
      <c r="C172" s="36"/>
      <c r="D172" s="36"/>
      <c r="E172" s="36">
        <v>0.000429</v>
      </c>
      <c r="F172" s="48">
        <v>0.000638</v>
      </c>
    </row>
    <row r="173" spans="1:6" ht="13.5">
      <c r="A173" s="78" t="s">
        <v>0</v>
      </c>
      <c r="B173" s="37">
        <f>SUM(C173:F173)</f>
        <v>0.987428</v>
      </c>
      <c r="C173" s="38"/>
      <c r="D173" s="39"/>
      <c r="E173" s="26">
        <v>0.858009</v>
      </c>
      <c r="F173" s="27">
        <v>0.129419</v>
      </c>
    </row>
    <row r="174" spans="1:6" ht="13.5">
      <c r="A174" s="78" t="s">
        <v>12</v>
      </c>
      <c r="B174" s="37">
        <f>SUM(C174:F174)</f>
        <v>0.103609</v>
      </c>
      <c r="C174" s="38">
        <f>C175</f>
        <v>0</v>
      </c>
      <c r="D174" s="39">
        <f>D175</f>
        <v>0</v>
      </c>
      <c r="E174" s="39">
        <f>E175</f>
        <v>0.035279</v>
      </c>
      <c r="F174" s="49">
        <f>F175</f>
        <v>0.06833</v>
      </c>
    </row>
    <row r="175" spans="1:6" ht="12.75">
      <c r="A175" s="79" t="s">
        <v>13</v>
      </c>
      <c r="B175" s="35">
        <f>SUM(C175:F175)</f>
        <v>0.103609</v>
      </c>
      <c r="C175" s="36"/>
      <c r="D175" s="40"/>
      <c r="E175" s="40">
        <v>0.035279</v>
      </c>
      <c r="F175" s="47">
        <v>0.06833</v>
      </c>
    </row>
    <row r="176" spans="1:6" ht="13.5" thickBot="1">
      <c r="A176" s="80" t="s">
        <v>14</v>
      </c>
      <c r="B176" s="41">
        <f>SUM(C176:F176)</f>
        <v>0.201</v>
      </c>
      <c r="C176" s="42"/>
      <c r="D176" s="43"/>
      <c r="E176" s="43">
        <v>0.069</v>
      </c>
      <c r="F176" s="50">
        <v>0.132</v>
      </c>
    </row>
    <row r="177" spans="1:6" ht="13.5" thickBot="1">
      <c r="A177" s="72" t="s">
        <v>36</v>
      </c>
      <c r="B177" s="44">
        <f>SUM(C177:F177)</f>
        <v>6.031348</v>
      </c>
      <c r="C177" s="45">
        <f>C178+C186+C187</f>
        <v>0</v>
      </c>
      <c r="D177" s="45">
        <f>D178+D186+D187</f>
        <v>0</v>
      </c>
      <c r="E177" s="45">
        <f>E178+E186+E187</f>
        <v>1.098039</v>
      </c>
      <c r="F177" s="46">
        <f>F178+F186+F187</f>
        <v>4.933309</v>
      </c>
    </row>
    <row r="178" spans="1:6" ht="13.5">
      <c r="A178" s="78" t="s">
        <v>10</v>
      </c>
      <c r="B178" s="17">
        <f>SUM(C178:F178)</f>
        <v>3.8661630000000002</v>
      </c>
      <c r="C178" s="18">
        <f>C179+C180+C181+C182+C183+C184+C185</f>
        <v>0</v>
      </c>
      <c r="D178" s="18">
        <f>D179+D180+D181+D182+D183+D184+D185</f>
        <v>0</v>
      </c>
      <c r="E178" s="18">
        <f>E179+E180+E181+E182+E183+E184+E185</f>
        <v>0.034657</v>
      </c>
      <c r="F178" s="19">
        <f>F179+F180+F181+F182+F183+F184+F185</f>
        <v>3.831506</v>
      </c>
    </row>
    <row r="179" spans="1:6" ht="12.75">
      <c r="A179" s="79" t="s">
        <v>4</v>
      </c>
      <c r="B179" s="35">
        <f>SUM(C179:F179)</f>
        <v>0.376735</v>
      </c>
      <c r="C179" s="36"/>
      <c r="D179" s="40"/>
      <c r="E179" s="40">
        <v>0.00484</v>
      </c>
      <c r="F179" s="47">
        <v>0.371895</v>
      </c>
    </row>
    <row r="180" spans="1:6" ht="12.75">
      <c r="A180" s="79" t="s">
        <v>17</v>
      </c>
      <c r="B180" s="35">
        <f>SUM(C180:F180)</f>
        <v>0</v>
      </c>
      <c r="C180" s="36"/>
      <c r="D180" s="40"/>
      <c r="E180" s="40"/>
      <c r="F180" s="47"/>
    </row>
    <row r="181" spans="1:6" ht="12.75">
      <c r="A181" s="79" t="s">
        <v>5</v>
      </c>
      <c r="B181" s="35">
        <f>SUM(C181:F181)</f>
        <v>3.480087</v>
      </c>
      <c r="C181" s="36"/>
      <c r="D181" s="40"/>
      <c r="E181" s="40">
        <v>0.023418</v>
      </c>
      <c r="F181" s="47">
        <v>3.456669</v>
      </c>
    </row>
    <row r="182" spans="1:6" ht="12.75">
      <c r="A182" s="79" t="s">
        <v>23</v>
      </c>
      <c r="B182" s="35">
        <f>SUM(C182:F182)</f>
        <v>0</v>
      </c>
      <c r="C182" s="36"/>
      <c r="D182" s="36"/>
      <c r="E182" s="36"/>
      <c r="F182" s="48"/>
    </row>
    <row r="183" spans="1:6" ht="12.75">
      <c r="A183" s="79" t="s">
        <v>24</v>
      </c>
      <c r="B183" s="35">
        <f>SUM(C183:F183)</f>
        <v>0.009341</v>
      </c>
      <c r="C183" s="36"/>
      <c r="D183" s="36"/>
      <c r="E183" s="36">
        <v>0.006399</v>
      </c>
      <c r="F183" s="48">
        <v>0.002942</v>
      </c>
    </row>
    <row r="184" spans="1:6" ht="12.75">
      <c r="A184" s="79" t="s">
        <v>25</v>
      </c>
      <c r="B184" s="35">
        <f>SUM(C184:F184)</f>
        <v>0</v>
      </c>
      <c r="C184" s="36"/>
      <c r="D184" s="36"/>
      <c r="E184" s="36"/>
      <c r="F184" s="48"/>
    </row>
    <row r="185" spans="1:6" ht="12.75">
      <c r="A185" s="79" t="s">
        <v>26</v>
      </c>
      <c r="B185" s="35">
        <f>SUM(C185:F185)</f>
        <v>0</v>
      </c>
      <c r="C185" s="36"/>
      <c r="D185" s="36"/>
      <c r="E185" s="36"/>
      <c r="F185" s="48"/>
    </row>
    <row r="186" spans="1:6" ht="13.5">
      <c r="A186" s="78" t="s">
        <v>0</v>
      </c>
      <c r="B186" s="37">
        <f>SUM(C186:F186)</f>
        <v>1.9663819999999999</v>
      </c>
      <c r="C186" s="38"/>
      <c r="D186" s="39"/>
      <c r="E186" s="26">
        <v>0.972162</v>
      </c>
      <c r="F186" s="27">
        <v>0.99422</v>
      </c>
    </row>
    <row r="187" spans="1:6" ht="13.5">
      <c r="A187" s="82" t="s">
        <v>12</v>
      </c>
      <c r="B187" s="23">
        <f>SUM(C187:F187)</f>
        <v>0.198803</v>
      </c>
      <c r="C187" s="24">
        <f>C188</f>
        <v>0</v>
      </c>
      <c r="D187" s="26">
        <f>D188</f>
        <v>0</v>
      </c>
      <c r="E187" s="26">
        <f>E188</f>
        <v>0.09122</v>
      </c>
      <c r="F187" s="27">
        <f>F188</f>
        <v>0.107583</v>
      </c>
    </row>
    <row r="188" spans="1:6" ht="12.75">
      <c r="A188" s="79" t="s">
        <v>13</v>
      </c>
      <c r="B188" s="35">
        <f>SUM(C188:F188)</f>
        <v>0.198803</v>
      </c>
      <c r="C188" s="36"/>
      <c r="D188" s="40"/>
      <c r="E188" s="40">
        <v>0.09122</v>
      </c>
      <c r="F188" s="47">
        <v>0.107583</v>
      </c>
    </row>
    <row r="189" spans="1:6" ht="13.5" thickBot="1">
      <c r="A189" s="80" t="s">
        <v>14</v>
      </c>
      <c r="B189" s="41">
        <f>SUM(C189:F189)</f>
        <v>0.33799999999999997</v>
      </c>
      <c r="C189" s="42"/>
      <c r="D189" s="43"/>
      <c r="E189" s="43">
        <v>0.152</v>
      </c>
      <c r="F189" s="50">
        <v>0.186</v>
      </c>
    </row>
    <row r="190" spans="1:6" ht="13.5" thickBot="1">
      <c r="A190" s="72" t="s">
        <v>30</v>
      </c>
      <c r="B190" s="44">
        <f aca="true" t="shared" si="6" ref="B190:B199">SUM(C190:F190)</f>
        <v>0.29045099999999996</v>
      </c>
      <c r="C190" s="45">
        <f>C191+C199+C200</f>
        <v>0</v>
      </c>
      <c r="D190" s="45">
        <f>D191+D199+D200</f>
        <v>0</v>
      </c>
      <c r="E190" s="45">
        <f>E191+E199+E200</f>
        <v>0.26256599999999997</v>
      </c>
      <c r="F190" s="46">
        <f>F191+F199+F200</f>
        <v>0.027885000000000004</v>
      </c>
    </row>
    <row r="191" spans="1:6" ht="13.5">
      <c r="A191" s="78" t="s">
        <v>10</v>
      </c>
      <c r="B191" s="17">
        <f t="shared" si="6"/>
        <v>0.028338000000000002</v>
      </c>
      <c r="C191" s="18">
        <f>C192+C193+C194+C195+C196+C197+C198</f>
        <v>0</v>
      </c>
      <c r="D191" s="18">
        <f>D192+D193+D194+D195+D196+D197+D198</f>
        <v>0</v>
      </c>
      <c r="E191" s="18">
        <f>E192+E193+E194+E195+E196+E197+E198</f>
        <v>0.000478</v>
      </c>
      <c r="F191" s="19">
        <f>F192+F193+F194+F195+F196+F197+F198</f>
        <v>0.027860000000000003</v>
      </c>
    </row>
    <row r="192" spans="1:6" ht="12.75">
      <c r="A192" s="79" t="s">
        <v>4</v>
      </c>
      <c r="B192" s="35">
        <f t="shared" si="6"/>
        <v>0.02374</v>
      </c>
      <c r="C192" s="36"/>
      <c r="D192" s="40"/>
      <c r="E192" s="40"/>
      <c r="F192" s="47">
        <v>0.02374</v>
      </c>
    </row>
    <row r="193" spans="1:6" ht="12.75">
      <c r="A193" s="79" t="s">
        <v>17</v>
      </c>
      <c r="B193" s="35">
        <f t="shared" si="6"/>
        <v>0</v>
      </c>
      <c r="C193" s="36"/>
      <c r="D193" s="40"/>
      <c r="E193" s="40"/>
      <c r="F193" s="47"/>
    </row>
    <row r="194" spans="1:6" ht="12.75">
      <c r="A194" s="79" t="s">
        <v>5</v>
      </c>
      <c r="B194" s="35">
        <f t="shared" si="6"/>
        <v>0.000478</v>
      </c>
      <c r="C194" s="36"/>
      <c r="D194" s="40"/>
      <c r="E194" s="40">
        <v>0.000478</v>
      </c>
      <c r="F194" s="47"/>
    </row>
    <row r="195" spans="1:6" ht="12.75">
      <c r="A195" s="79" t="s">
        <v>23</v>
      </c>
      <c r="B195" s="35">
        <f t="shared" si="6"/>
        <v>0</v>
      </c>
      <c r="C195" s="36"/>
      <c r="D195" s="36"/>
      <c r="E195" s="36"/>
      <c r="F195" s="48"/>
    </row>
    <row r="196" spans="1:6" ht="12.75">
      <c r="A196" s="79" t="s">
        <v>24</v>
      </c>
      <c r="B196" s="35">
        <f t="shared" si="6"/>
        <v>0</v>
      </c>
      <c r="C196" s="36"/>
      <c r="D196" s="36"/>
      <c r="E196" s="36"/>
      <c r="F196" s="48"/>
    </row>
    <row r="197" spans="1:6" ht="12.75">
      <c r="A197" s="79" t="s">
        <v>25</v>
      </c>
      <c r="B197" s="35">
        <f t="shared" si="6"/>
        <v>0</v>
      </c>
      <c r="C197" s="36"/>
      <c r="D197" s="36"/>
      <c r="E197" s="36"/>
      <c r="F197" s="48"/>
    </row>
    <row r="198" spans="1:6" ht="12.75">
      <c r="A198" s="79" t="s">
        <v>26</v>
      </c>
      <c r="B198" s="35">
        <f t="shared" si="6"/>
        <v>0.00412</v>
      </c>
      <c r="C198" s="36"/>
      <c r="D198" s="36"/>
      <c r="E198" s="36"/>
      <c r="F198" s="48">
        <v>0.00412</v>
      </c>
    </row>
    <row r="199" spans="1:6" ht="13.5">
      <c r="A199" s="83" t="s">
        <v>0</v>
      </c>
      <c r="B199" s="51">
        <f t="shared" si="6"/>
        <v>0.19589499999999999</v>
      </c>
      <c r="C199" s="24"/>
      <c r="D199" s="26"/>
      <c r="E199" s="26">
        <v>0.19587</v>
      </c>
      <c r="F199" s="27">
        <v>2.5E-05</v>
      </c>
    </row>
    <row r="200" spans="1:6" ht="13.5">
      <c r="A200" s="82" t="s">
        <v>12</v>
      </c>
      <c r="B200" s="23">
        <f>SUM(C200:F200)</f>
        <v>0.066218</v>
      </c>
      <c r="C200" s="24">
        <f>C201</f>
        <v>0</v>
      </c>
      <c r="D200" s="26">
        <f>D201</f>
        <v>0</v>
      </c>
      <c r="E200" s="26">
        <f>E201</f>
        <v>0.066218</v>
      </c>
      <c r="F200" s="27">
        <f>F201</f>
        <v>0</v>
      </c>
    </row>
    <row r="201" spans="1:6" ht="12.75">
      <c r="A201" s="79" t="s">
        <v>13</v>
      </c>
      <c r="B201" s="35">
        <f>SUM(C201:F201)</f>
        <v>0.066218</v>
      </c>
      <c r="C201" s="36"/>
      <c r="D201" s="40"/>
      <c r="E201" s="40">
        <v>0.066218</v>
      </c>
      <c r="F201" s="47"/>
    </row>
    <row r="202" spans="1:6" ht="13.5" thickBot="1">
      <c r="A202" s="80" t="s">
        <v>14</v>
      </c>
      <c r="B202" s="41">
        <f>SUM(C202:F202)</f>
        <v>0.137</v>
      </c>
      <c r="C202" s="42"/>
      <c r="D202" s="43"/>
      <c r="E202" s="43">
        <v>0.137</v>
      </c>
      <c r="F202" s="50"/>
    </row>
  </sheetData>
  <sheetProtection/>
  <mergeCells count="3">
    <mergeCell ref="B4:F4"/>
    <mergeCell ref="A5:A6"/>
    <mergeCell ref="B5:F5"/>
  </mergeCells>
  <conditionalFormatting sqref="C134">
    <cfRule type="containsText" priority="1" dxfId="273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tabSelected="1" zoomScale="86" zoomScaleNormal="86" zoomScalePageLayoutView="0" workbookViewId="0" topLeftCell="A1">
      <selection activeCell="F48" sqref="F48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9.140625" style="1" customWidth="1"/>
    <col min="8" max="8" width="9.140625" style="208" customWidth="1"/>
    <col min="9" max="9" width="9.140625" style="195" customWidth="1"/>
    <col min="10" max="16384" width="9.140625" style="1" customWidth="1"/>
  </cols>
  <sheetData>
    <row r="1" spans="1:9" s="12" customFormat="1" ht="15.75">
      <c r="A1" s="9" t="s">
        <v>61</v>
      </c>
      <c r="B1" s="13"/>
      <c r="C1" s="14"/>
      <c r="D1" s="14"/>
      <c r="E1" s="14"/>
      <c r="F1" s="14"/>
      <c r="H1" s="206"/>
      <c r="I1" s="5"/>
    </row>
    <row r="2" spans="1:9" s="3" customFormat="1" ht="15.75" customHeight="1">
      <c r="A2" s="16" t="s">
        <v>37</v>
      </c>
      <c r="B2" s="11"/>
      <c r="C2" s="11"/>
      <c r="D2" s="11"/>
      <c r="E2" s="11"/>
      <c r="F2" s="11"/>
      <c r="H2" s="11"/>
      <c r="I2" s="4"/>
    </row>
    <row r="3" spans="1:9" s="3" customFormat="1" ht="15.75" customHeight="1" thickBot="1">
      <c r="A3" s="6"/>
      <c r="B3" s="10"/>
      <c r="C3" s="10"/>
      <c r="D3" s="10"/>
      <c r="E3" s="10"/>
      <c r="F3" s="10"/>
      <c r="H3" s="11"/>
      <c r="I3" s="4"/>
    </row>
    <row r="4" spans="1:9" s="2" customFormat="1" ht="15.75" customHeight="1" thickBot="1">
      <c r="A4" s="7"/>
      <c r="B4" s="256" t="s">
        <v>62</v>
      </c>
      <c r="C4" s="257"/>
      <c r="D4" s="257"/>
      <c r="E4" s="257"/>
      <c r="F4" s="258"/>
      <c r="H4" s="207"/>
      <c r="I4" s="196"/>
    </row>
    <row r="5" spans="1:9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  <c r="H5" s="207"/>
      <c r="I5" s="196"/>
    </row>
    <row r="6" spans="1:9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H6" s="207"/>
      <c r="I6" s="196"/>
    </row>
    <row r="7" spans="1:6" ht="18.75" customHeight="1" thickBot="1">
      <c r="A7" s="54" t="s">
        <v>31</v>
      </c>
      <c r="B7" s="44">
        <f aca="true" t="shared" si="0" ref="B7:F19">B31+B47+B60+B73+B86+B99+B112+B125+B138+B151+B164+B177+B190</f>
        <v>106.94282699999998</v>
      </c>
      <c r="C7" s="45">
        <f t="shared" si="0"/>
        <v>29.366583000000006</v>
      </c>
      <c r="D7" s="45">
        <f t="shared" si="0"/>
        <v>0.910719</v>
      </c>
      <c r="E7" s="46">
        <f t="shared" si="0"/>
        <v>31.053773</v>
      </c>
      <c r="F7" s="46">
        <f>F8+F16+F20+F17</f>
        <v>45.611752</v>
      </c>
    </row>
    <row r="8" spans="1:6" ht="13.5">
      <c r="A8" s="55" t="s">
        <v>10</v>
      </c>
      <c r="B8" s="17">
        <f aca="true" t="shared" si="1" ref="B8:B22">SUM(C8:F8)</f>
        <v>33.868196</v>
      </c>
      <c r="C8" s="18">
        <f>C9+C10+C11+C12+C13+C14+C15</f>
        <v>0.123719</v>
      </c>
      <c r="D8" s="18">
        <f>D9+D10+D11+D12+D13+D14+D15</f>
        <v>0.00095</v>
      </c>
      <c r="E8" s="18">
        <f>E9+E10+E11+E12+E13+E14+E15</f>
        <v>2.3402689999999997</v>
      </c>
      <c r="F8" s="19">
        <f>F9+F10+F11+F12+F13+F14+F15</f>
        <v>31.403258</v>
      </c>
    </row>
    <row r="9" spans="1:6" ht="12.75">
      <c r="A9" s="56" t="s">
        <v>4</v>
      </c>
      <c r="B9" s="20">
        <f t="shared" si="1"/>
        <v>12.415224999999998</v>
      </c>
      <c r="C9" s="21">
        <f>C33+C49+C62+C75+C88+C101+C114+C127+C140+C153+C166+C179+C192</f>
        <v>0.007304</v>
      </c>
      <c r="D9" s="21">
        <f t="shared" si="0"/>
        <v>0</v>
      </c>
      <c r="E9" s="21">
        <f t="shared" si="0"/>
        <v>1.019933</v>
      </c>
      <c r="F9" s="22">
        <f t="shared" si="0"/>
        <v>11.387987999999998</v>
      </c>
    </row>
    <row r="10" spans="1:6" ht="12.75">
      <c r="A10" s="56" t="s">
        <v>11</v>
      </c>
      <c r="B10" s="20">
        <f t="shared" si="1"/>
        <v>1.025476</v>
      </c>
      <c r="C10" s="21">
        <f t="shared" si="0"/>
        <v>0</v>
      </c>
      <c r="D10" s="21">
        <f t="shared" si="0"/>
        <v>0</v>
      </c>
      <c r="E10" s="21">
        <f t="shared" si="0"/>
        <v>0.498262</v>
      </c>
      <c r="F10" s="22">
        <f t="shared" si="0"/>
        <v>0.5272140000000001</v>
      </c>
    </row>
    <row r="11" spans="1:6" ht="12.75">
      <c r="A11" s="56" t="s">
        <v>5</v>
      </c>
      <c r="B11" s="20">
        <f t="shared" si="1"/>
        <v>19.849485</v>
      </c>
      <c r="C11" s="21">
        <f t="shared" si="0"/>
        <v>0.020523</v>
      </c>
      <c r="D11" s="21">
        <f t="shared" si="0"/>
        <v>0.00095</v>
      </c>
      <c r="E11" s="21">
        <f t="shared" si="0"/>
        <v>0.4391570000000001</v>
      </c>
      <c r="F11" s="22">
        <f t="shared" si="0"/>
        <v>19.388855</v>
      </c>
    </row>
    <row r="12" spans="1:6" ht="12.75">
      <c r="A12" s="56" t="s">
        <v>23</v>
      </c>
      <c r="B12" s="20">
        <f t="shared" si="1"/>
        <v>0.00303</v>
      </c>
      <c r="C12" s="21">
        <f t="shared" si="0"/>
        <v>0</v>
      </c>
      <c r="D12" s="21">
        <f t="shared" si="0"/>
        <v>0</v>
      </c>
      <c r="E12" s="21">
        <f t="shared" si="0"/>
        <v>0.00303</v>
      </c>
      <c r="F12" s="22">
        <f t="shared" si="0"/>
        <v>0</v>
      </c>
    </row>
    <row r="13" spans="1:6" ht="12.75">
      <c r="A13" s="56" t="s">
        <v>24</v>
      </c>
      <c r="B13" s="20">
        <f t="shared" si="1"/>
        <v>0.313846</v>
      </c>
      <c r="C13" s="21">
        <f t="shared" si="0"/>
        <v>0</v>
      </c>
      <c r="D13" s="21">
        <f t="shared" si="0"/>
        <v>0</v>
      </c>
      <c r="E13" s="21">
        <f t="shared" si="0"/>
        <v>0.223614</v>
      </c>
      <c r="F13" s="22">
        <f t="shared" si="0"/>
        <v>0.090232</v>
      </c>
    </row>
    <row r="14" spans="1:6" ht="12.75">
      <c r="A14" s="56" t="s">
        <v>25</v>
      </c>
      <c r="B14" s="20">
        <f t="shared" si="1"/>
        <v>0.23557</v>
      </c>
      <c r="C14" s="21">
        <f t="shared" si="0"/>
        <v>0.08351399999999999</v>
      </c>
      <c r="D14" s="21">
        <f t="shared" si="0"/>
        <v>0</v>
      </c>
      <c r="E14" s="21">
        <f t="shared" si="0"/>
        <v>0.143747</v>
      </c>
      <c r="F14" s="22">
        <f t="shared" si="0"/>
        <v>0.008309</v>
      </c>
    </row>
    <row r="15" spans="1:6" ht="12.75">
      <c r="A15" s="56" t="s">
        <v>26</v>
      </c>
      <c r="B15" s="20">
        <f t="shared" si="1"/>
        <v>0.025564000000000003</v>
      </c>
      <c r="C15" s="21">
        <f t="shared" si="0"/>
        <v>0.012378</v>
      </c>
      <c r="D15" s="21">
        <f t="shared" si="0"/>
        <v>0</v>
      </c>
      <c r="E15" s="21">
        <f t="shared" si="0"/>
        <v>0.012526</v>
      </c>
      <c r="F15" s="22">
        <f t="shared" si="0"/>
        <v>0.00066</v>
      </c>
    </row>
    <row r="16" spans="1:6" ht="13.5">
      <c r="A16" s="55" t="s">
        <v>0</v>
      </c>
      <c r="B16" s="23">
        <f t="shared" si="1"/>
        <v>48.449815</v>
      </c>
      <c r="C16" s="202">
        <f t="shared" si="0"/>
        <v>15.791965000000003</v>
      </c>
      <c r="D16" s="202">
        <f t="shared" si="0"/>
        <v>0.682226</v>
      </c>
      <c r="E16" s="202">
        <f t="shared" si="0"/>
        <v>19.174063999999998</v>
      </c>
      <c r="F16" s="203">
        <f t="shared" si="0"/>
        <v>12.801559999999998</v>
      </c>
    </row>
    <row r="17" spans="1:6" ht="13.5">
      <c r="A17" s="55" t="s">
        <v>12</v>
      </c>
      <c r="B17" s="23">
        <f t="shared" si="1"/>
        <v>23.137151000000003</v>
      </c>
      <c r="C17" s="24">
        <f t="shared" si="0"/>
        <v>11.963234</v>
      </c>
      <c r="D17" s="24">
        <f t="shared" si="0"/>
        <v>0.227543</v>
      </c>
      <c r="E17" s="24">
        <f t="shared" si="0"/>
        <v>9.53944</v>
      </c>
      <c r="F17" s="25">
        <f t="shared" si="0"/>
        <v>1.4069339999999997</v>
      </c>
    </row>
    <row r="18" spans="1:6" ht="13.5">
      <c r="A18" s="56" t="s">
        <v>13</v>
      </c>
      <c r="B18" s="204">
        <f t="shared" si="1"/>
        <v>23.137151000000003</v>
      </c>
      <c r="C18" s="24">
        <f t="shared" si="0"/>
        <v>11.963234</v>
      </c>
      <c r="D18" s="24">
        <f t="shared" si="0"/>
        <v>0.227543</v>
      </c>
      <c r="E18" s="24">
        <f t="shared" si="0"/>
        <v>9.53944</v>
      </c>
      <c r="F18" s="25">
        <f t="shared" si="0"/>
        <v>1.4069339999999997</v>
      </c>
    </row>
    <row r="19" spans="1:6" ht="12.75">
      <c r="A19" s="57" t="s">
        <v>14</v>
      </c>
      <c r="B19" s="58">
        <f>SUM(C19:F19)</f>
        <v>34.208999999999996</v>
      </c>
      <c r="C19" s="21">
        <f t="shared" si="0"/>
        <v>17.278</v>
      </c>
      <c r="D19" s="21">
        <f t="shared" si="0"/>
        <v>0.374</v>
      </c>
      <c r="E19" s="21">
        <f t="shared" si="0"/>
        <v>14.244</v>
      </c>
      <c r="F19" s="22">
        <f t="shared" si="0"/>
        <v>2.3129999999999997</v>
      </c>
    </row>
    <row r="20" spans="1:6" ht="13.5">
      <c r="A20" s="55" t="s">
        <v>15</v>
      </c>
      <c r="B20" s="23">
        <f t="shared" si="1"/>
        <v>1.487665</v>
      </c>
      <c r="C20" s="24">
        <f>C21</f>
        <v>1.487665</v>
      </c>
      <c r="D20" s="26"/>
      <c r="E20" s="26"/>
      <c r="F20" s="27"/>
    </row>
    <row r="21" spans="1:6" ht="12.75">
      <c r="A21" s="56" t="s">
        <v>13</v>
      </c>
      <c r="B21" s="20">
        <f t="shared" si="1"/>
        <v>1.487665</v>
      </c>
      <c r="C21" s="21">
        <f>C45</f>
        <v>1.487665</v>
      </c>
      <c r="D21" s="28"/>
      <c r="E21" s="28"/>
      <c r="F21" s="29"/>
    </row>
    <row r="22" spans="1:6" ht="12.75">
      <c r="A22" s="60" t="s">
        <v>16</v>
      </c>
      <c r="B22" s="58">
        <f t="shared" si="1"/>
        <v>2.835</v>
      </c>
      <c r="C22" s="59">
        <f>C46</f>
        <v>2.835</v>
      </c>
      <c r="D22" s="30"/>
      <c r="E22" s="30"/>
      <c r="F22" s="31"/>
    </row>
    <row r="23" spans="1:6" ht="13.5">
      <c r="A23" s="55" t="s">
        <v>32</v>
      </c>
      <c r="B23" s="23">
        <f>SUM(C23:F23)</f>
        <v>2.889747000000001</v>
      </c>
      <c r="C23" s="24">
        <f>C24</f>
        <v>2.889747000000001</v>
      </c>
      <c r="D23" s="26">
        <f>D24</f>
        <v>0</v>
      </c>
      <c r="E23" s="26">
        <f>E24</f>
        <v>0</v>
      </c>
      <c r="F23" s="27">
        <f>F24</f>
        <v>0</v>
      </c>
    </row>
    <row r="24" spans="1:6" ht="12.75">
      <c r="A24" s="56" t="s">
        <v>13</v>
      </c>
      <c r="B24" s="20">
        <f>SUM(C24:F24)</f>
        <v>2.889747000000001</v>
      </c>
      <c r="C24" s="21">
        <f>C58</f>
        <v>2.889747000000001</v>
      </c>
      <c r="D24" s="28"/>
      <c r="E24" s="28"/>
      <c r="F24" s="29"/>
    </row>
    <row r="25" spans="1:6" ht="12.75" customHeight="1" thickBot="1">
      <c r="A25" s="61" t="s">
        <v>14</v>
      </c>
      <c r="B25" s="32">
        <f>SUM(C25:F25)</f>
        <v>6.169999999999997</v>
      </c>
      <c r="C25" s="62">
        <f>C59</f>
        <v>6.169999999999997</v>
      </c>
      <c r="D25" s="33"/>
      <c r="E25" s="33"/>
      <c r="F25" s="34"/>
    </row>
    <row r="26" spans="1:6" ht="12.75" customHeight="1" hidden="1" thickBot="1">
      <c r="A26" s="88"/>
      <c r="B26" s="89"/>
      <c r="C26" s="90"/>
      <c r="D26" s="91"/>
      <c r="E26" s="91"/>
      <c r="F26" s="92"/>
    </row>
    <row r="27" spans="1:6" ht="12.75" customHeight="1" hidden="1" thickBot="1">
      <c r="A27" s="93"/>
      <c r="B27" s="94"/>
      <c r="C27" s="95"/>
      <c r="D27" s="96"/>
      <c r="E27" s="96"/>
      <c r="F27" s="97"/>
    </row>
    <row r="28" spans="1:6" ht="12.75" customHeight="1" hidden="1" thickBot="1">
      <c r="A28" s="98"/>
      <c r="B28" s="99"/>
      <c r="C28" s="100"/>
      <c r="D28" s="101"/>
      <c r="E28" s="101"/>
      <c r="F28" s="102"/>
    </row>
    <row r="29" spans="1:6" ht="12.75" customHeight="1" hidden="1" thickBot="1">
      <c r="A29" s="103"/>
      <c r="B29" s="104"/>
      <c r="C29" s="105"/>
      <c r="D29" s="106"/>
      <c r="E29" s="107"/>
      <c r="F29" s="108"/>
    </row>
    <row r="30" spans="1:6" ht="12.75" customHeight="1" hidden="1" thickBot="1">
      <c r="A30" s="109"/>
      <c r="B30" s="110"/>
      <c r="C30" s="111"/>
      <c r="D30" s="112"/>
      <c r="E30" s="112"/>
      <c r="F30" s="113"/>
    </row>
    <row r="31" spans="1:6" ht="13.5" customHeight="1" thickBot="1">
      <c r="A31" s="63" t="s">
        <v>39</v>
      </c>
      <c r="B31" s="227">
        <v>65.55130199999999</v>
      </c>
      <c r="C31" s="174">
        <v>14.780416</v>
      </c>
      <c r="D31" s="174">
        <v>0.791704</v>
      </c>
      <c r="E31" s="174">
        <v>19.837264</v>
      </c>
      <c r="F31" s="175">
        <v>30.141917999999997</v>
      </c>
    </row>
    <row r="32" spans="1:6" ht="12.75" customHeight="1">
      <c r="A32" s="55" t="s">
        <v>10</v>
      </c>
      <c r="B32" s="17">
        <v>21.064434</v>
      </c>
      <c r="C32" s="18">
        <v>0.038467999999999995</v>
      </c>
      <c r="D32" s="18">
        <v>0.00095</v>
      </c>
      <c r="E32" s="18">
        <v>0.8230120000000001</v>
      </c>
      <c r="F32" s="19">
        <v>20.202004</v>
      </c>
    </row>
    <row r="33" spans="1:6" ht="12.75" customHeight="1">
      <c r="A33" s="56" t="s">
        <v>4</v>
      </c>
      <c r="B33" s="35">
        <v>5.507948</v>
      </c>
      <c r="C33" s="36">
        <v>0.007304</v>
      </c>
      <c r="D33" s="36"/>
      <c r="E33" s="36">
        <v>0.21375</v>
      </c>
      <c r="F33" s="48">
        <v>5.286894</v>
      </c>
    </row>
    <row r="34" spans="1:6" ht="12.75" customHeight="1">
      <c r="A34" s="56" t="s">
        <v>11</v>
      </c>
      <c r="B34" s="35">
        <v>0.079472</v>
      </c>
      <c r="C34" s="36"/>
      <c r="D34" s="36"/>
      <c r="E34" s="36">
        <v>0.01604</v>
      </c>
      <c r="F34" s="48">
        <v>0.063432</v>
      </c>
    </row>
    <row r="35" spans="1:6" ht="12.75" customHeight="1">
      <c r="A35" s="56" t="s">
        <v>5</v>
      </c>
      <c r="B35" s="35">
        <v>15.175880999999999</v>
      </c>
      <c r="C35" s="36">
        <v>0.020523</v>
      </c>
      <c r="D35" s="36">
        <v>0.00095</v>
      </c>
      <c r="E35" s="36">
        <v>0.38224</v>
      </c>
      <c r="F35" s="48">
        <v>14.772167999999999</v>
      </c>
    </row>
    <row r="36" spans="1:6" ht="12.75" customHeight="1">
      <c r="A36" s="56" t="s">
        <v>23</v>
      </c>
      <c r="B36" s="35">
        <v>0.00303</v>
      </c>
      <c r="C36" s="36"/>
      <c r="D36" s="36"/>
      <c r="E36" s="36">
        <v>0.00303</v>
      </c>
      <c r="F36" s="48"/>
    </row>
    <row r="37" spans="1:6" ht="12.75" customHeight="1">
      <c r="A37" s="56" t="s">
        <v>24</v>
      </c>
      <c r="B37" s="35">
        <v>0.27787300000000004</v>
      </c>
      <c r="C37" s="36"/>
      <c r="D37" s="36"/>
      <c r="E37" s="36">
        <v>0.206852</v>
      </c>
      <c r="F37" s="48">
        <v>0.071021</v>
      </c>
    </row>
    <row r="38" spans="1:6" ht="12.75" customHeight="1">
      <c r="A38" s="56" t="s">
        <v>25</v>
      </c>
      <c r="B38" s="35">
        <v>0.008309</v>
      </c>
      <c r="C38" s="36"/>
      <c r="D38" s="36"/>
      <c r="E38" s="36"/>
      <c r="F38" s="48">
        <v>0.008309</v>
      </c>
    </row>
    <row r="39" spans="1:6" ht="12.75" customHeight="1">
      <c r="A39" s="56" t="s">
        <v>26</v>
      </c>
      <c r="B39" s="35">
        <v>0.011921</v>
      </c>
      <c r="C39" s="36">
        <v>0.010641</v>
      </c>
      <c r="D39" s="36"/>
      <c r="E39" s="36">
        <v>0.0011</v>
      </c>
      <c r="F39" s="48">
        <v>0.00018</v>
      </c>
    </row>
    <row r="40" spans="1:6" ht="12.75" customHeight="1">
      <c r="A40" s="55" t="s">
        <v>0</v>
      </c>
      <c r="B40" s="37">
        <v>28.742674</v>
      </c>
      <c r="C40" s="38">
        <v>8.355543</v>
      </c>
      <c r="D40" s="39">
        <v>0.563211</v>
      </c>
      <c r="E40" s="26">
        <v>10.853577</v>
      </c>
      <c r="F40" s="27">
        <v>8.970343</v>
      </c>
    </row>
    <row r="41" spans="1:6" ht="12.75" customHeight="1">
      <c r="A41" s="55" t="s">
        <v>12</v>
      </c>
      <c r="B41" s="37">
        <v>14.256529000000002</v>
      </c>
      <c r="C41" s="38">
        <v>4.89874</v>
      </c>
      <c r="D41" s="38">
        <v>0.227543</v>
      </c>
      <c r="E41" s="38">
        <v>8.160675000000001</v>
      </c>
      <c r="F41" s="53">
        <v>0.969571</v>
      </c>
    </row>
    <row r="42" spans="1:6" ht="12.75" customHeight="1">
      <c r="A42" s="56" t="s">
        <v>13</v>
      </c>
      <c r="B42" s="35">
        <v>14.256529000000002</v>
      </c>
      <c r="C42" s="36">
        <v>4.89874</v>
      </c>
      <c r="D42" s="40">
        <v>0.227543</v>
      </c>
      <c r="E42" s="40">
        <v>8.160675000000001</v>
      </c>
      <c r="F42" s="29">
        <v>0.969571</v>
      </c>
    </row>
    <row r="43" spans="1:6" ht="12.75" customHeight="1">
      <c r="A43" s="57" t="s">
        <v>14</v>
      </c>
      <c r="B43" s="58">
        <v>21.359</v>
      </c>
      <c r="C43" s="52">
        <v>7.219</v>
      </c>
      <c r="D43" s="30">
        <v>0.374</v>
      </c>
      <c r="E43" s="30">
        <v>12.153</v>
      </c>
      <c r="F43" s="31">
        <v>1.613</v>
      </c>
    </row>
    <row r="44" spans="1:6" ht="12.75" customHeight="1">
      <c r="A44" s="55" t="s">
        <v>15</v>
      </c>
      <c r="B44" s="37">
        <v>1.487665</v>
      </c>
      <c r="C44" s="38">
        <v>1.487665</v>
      </c>
      <c r="D44" s="39">
        <v>0</v>
      </c>
      <c r="E44" s="39">
        <v>0</v>
      </c>
      <c r="F44" s="49">
        <v>0</v>
      </c>
    </row>
    <row r="45" spans="1:6" ht="12.75" customHeight="1">
      <c r="A45" s="56" t="s">
        <v>13</v>
      </c>
      <c r="B45" s="35">
        <v>1.487665</v>
      </c>
      <c r="C45" s="36">
        <v>1.487665</v>
      </c>
      <c r="D45" s="40"/>
      <c r="E45" s="40"/>
      <c r="F45" s="47"/>
    </row>
    <row r="46" spans="1:6" ht="12.75" customHeight="1" thickBot="1">
      <c r="A46" s="60" t="s">
        <v>14</v>
      </c>
      <c r="B46" s="41">
        <v>2.835</v>
      </c>
      <c r="C46" s="42">
        <v>2.835</v>
      </c>
      <c r="D46" s="43"/>
      <c r="E46" s="43"/>
      <c r="F46" s="50"/>
    </row>
    <row r="47" spans="1:6" ht="12.75" customHeight="1" thickBot="1">
      <c r="A47" s="72" t="s">
        <v>42</v>
      </c>
      <c r="B47" s="44">
        <v>2.889747000000001</v>
      </c>
      <c r="C47" s="45">
        <v>2.889747000000001</v>
      </c>
      <c r="D47" s="45">
        <v>0</v>
      </c>
      <c r="E47" s="45">
        <v>0</v>
      </c>
      <c r="F47" s="46">
        <v>0</v>
      </c>
    </row>
    <row r="48" spans="1:6" ht="12.75" customHeight="1">
      <c r="A48" s="55" t="s">
        <v>10</v>
      </c>
      <c r="B48" s="17">
        <v>0</v>
      </c>
      <c r="C48" s="18">
        <v>0</v>
      </c>
      <c r="D48" s="18">
        <v>0</v>
      </c>
      <c r="E48" s="18">
        <v>0</v>
      </c>
      <c r="F48" s="19">
        <v>0</v>
      </c>
    </row>
    <row r="49" spans="1:6" ht="12.75" customHeight="1">
      <c r="A49" s="56" t="s">
        <v>4</v>
      </c>
      <c r="B49" s="35">
        <v>0</v>
      </c>
      <c r="C49" s="36"/>
      <c r="D49" s="40"/>
      <c r="E49" s="40"/>
      <c r="F49" s="47"/>
    </row>
    <row r="50" spans="1:6" ht="12.75" customHeight="1">
      <c r="A50" s="56" t="s">
        <v>17</v>
      </c>
      <c r="B50" s="35">
        <v>0</v>
      </c>
      <c r="C50" s="36"/>
      <c r="D50" s="40"/>
      <c r="E50" s="40"/>
      <c r="F50" s="47"/>
    </row>
    <row r="51" spans="1:6" ht="12.75" customHeight="1">
      <c r="A51" s="56" t="s">
        <v>5</v>
      </c>
      <c r="B51" s="35">
        <v>0</v>
      </c>
      <c r="C51" s="36"/>
      <c r="D51" s="40"/>
      <c r="E51" s="40"/>
      <c r="F51" s="47"/>
    </row>
    <row r="52" spans="1:6" ht="12.75" customHeight="1">
      <c r="A52" s="56" t="s">
        <v>23</v>
      </c>
      <c r="B52" s="35">
        <v>0</v>
      </c>
      <c r="C52" s="36"/>
      <c r="D52" s="36"/>
      <c r="E52" s="36"/>
      <c r="F52" s="48"/>
    </row>
    <row r="53" spans="1:6" ht="12.75" customHeight="1">
      <c r="A53" s="56" t="s">
        <v>24</v>
      </c>
      <c r="B53" s="35">
        <v>0</v>
      </c>
      <c r="C53" s="36"/>
      <c r="D53" s="36"/>
      <c r="E53" s="36"/>
      <c r="F53" s="48"/>
    </row>
    <row r="54" spans="1:6" ht="12.75" customHeight="1">
      <c r="A54" s="56" t="s">
        <v>25</v>
      </c>
      <c r="B54" s="35">
        <v>0</v>
      </c>
      <c r="C54" s="36"/>
      <c r="D54" s="36"/>
      <c r="E54" s="36"/>
      <c r="F54" s="48"/>
    </row>
    <row r="55" spans="1:6" ht="12.75" customHeight="1">
      <c r="A55" s="56" t="s">
        <v>26</v>
      </c>
      <c r="B55" s="35">
        <v>0</v>
      </c>
      <c r="C55" s="36"/>
      <c r="D55" s="36"/>
      <c r="E55" s="36"/>
      <c r="F55" s="48"/>
    </row>
    <row r="56" spans="1:6" ht="12.75" customHeight="1">
      <c r="A56" s="55" t="s">
        <v>0</v>
      </c>
      <c r="B56" s="37">
        <v>0</v>
      </c>
      <c r="C56" s="38"/>
      <c r="D56" s="39"/>
      <c r="E56" s="26"/>
      <c r="F56" s="27"/>
    </row>
    <row r="57" spans="1:6" ht="12.75" customHeight="1">
      <c r="A57" s="55" t="s">
        <v>12</v>
      </c>
      <c r="B57" s="37">
        <v>2.889747000000001</v>
      </c>
      <c r="C57" s="38">
        <v>2.889747000000001</v>
      </c>
      <c r="D57" s="39"/>
      <c r="E57" s="39"/>
      <c r="F57" s="49"/>
    </row>
    <row r="58" spans="1:6" ht="12.75" customHeight="1">
      <c r="A58" s="56" t="s">
        <v>13</v>
      </c>
      <c r="B58" s="35">
        <v>2.889747000000001</v>
      </c>
      <c r="C58" s="36">
        <v>2.889747000000001</v>
      </c>
      <c r="D58" s="40"/>
      <c r="E58" s="40"/>
      <c r="F58" s="47"/>
    </row>
    <row r="59" spans="1:6" ht="12.75" customHeight="1" thickBot="1">
      <c r="A59" s="73" t="s">
        <v>14</v>
      </c>
      <c r="B59" s="41">
        <v>6.169999999999997</v>
      </c>
      <c r="C59" s="42">
        <v>6.169999999999997</v>
      </c>
      <c r="D59" s="43"/>
      <c r="E59" s="43"/>
      <c r="F59" s="50"/>
    </row>
    <row r="60" spans="1:6" ht="12.75" customHeight="1" thickBot="1">
      <c r="A60" s="72" t="s">
        <v>27</v>
      </c>
      <c r="B60" s="44">
        <v>11.681192000000001</v>
      </c>
      <c r="C60" s="45">
        <v>5.637219</v>
      </c>
      <c r="D60" s="45">
        <v>0.11901500000000001</v>
      </c>
      <c r="E60" s="45">
        <v>2.2933900000000005</v>
      </c>
      <c r="F60" s="46">
        <v>3.6315679999999997</v>
      </c>
    </row>
    <row r="61" spans="1:6" ht="12.75" customHeight="1">
      <c r="A61" s="78" t="s">
        <v>10</v>
      </c>
      <c r="B61" s="17">
        <v>2.6960889999999997</v>
      </c>
      <c r="C61" s="18">
        <v>0</v>
      </c>
      <c r="D61" s="18">
        <v>0</v>
      </c>
      <c r="E61" s="18">
        <v>0.17605099999999999</v>
      </c>
      <c r="F61" s="19">
        <v>2.5200379999999996</v>
      </c>
    </row>
    <row r="62" spans="1:6" ht="12.75" customHeight="1">
      <c r="A62" s="79" t="s">
        <v>4</v>
      </c>
      <c r="B62" s="35">
        <v>2.497603</v>
      </c>
      <c r="C62" s="36"/>
      <c r="D62" s="36"/>
      <c r="E62" s="36">
        <v>0.167981</v>
      </c>
      <c r="F62" s="48">
        <v>2.3296219999999996</v>
      </c>
    </row>
    <row r="63" spans="1:6" ht="12.75" customHeight="1">
      <c r="A63" s="79" t="s">
        <v>17</v>
      </c>
      <c r="B63" s="35">
        <v>0.13645400000000002</v>
      </c>
      <c r="C63" s="36"/>
      <c r="D63" s="40"/>
      <c r="E63" s="40"/>
      <c r="F63" s="47">
        <v>0.13645400000000002</v>
      </c>
    </row>
    <row r="64" spans="1:6" ht="12.75" customHeight="1">
      <c r="A64" s="79" t="s">
        <v>5</v>
      </c>
      <c r="B64" s="35">
        <v>0.062032000000000004</v>
      </c>
      <c r="C64" s="36"/>
      <c r="D64" s="40"/>
      <c r="E64" s="40">
        <v>0.00807</v>
      </c>
      <c r="F64" s="47">
        <v>0.053962</v>
      </c>
    </row>
    <row r="65" spans="1:6" ht="12.75" customHeight="1">
      <c r="A65" s="79" t="s">
        <v>23</v>
      </c>
      <c r="B65" s="35">
        <v>0</v>
      </c>
      <c r="C65" s="36"/>
      <c r="D65" s="36"/>
      <c r="E65" s="36"/>
      <c r="F65" s="48"/>
    </row>
    <row r="66" spans="1:6" ht="12.75" customHeight="1">
      <c r="A66" s="79" t="s">
        <v>24</v>
      </c>
      <c r="B66" s="35">
        <v>0</v>
      </c>
      <c r="C66" s="36"/>
      <c r="D66" s="36"/>
      <c r="E66" s="36"/>
      <c r="F66" s="48"/>
    </row>
    <row r="67" spans="1:6" ht="12.75" customHeight="1">
      <c r="A67" s="79" t="s">
        <v>25</v>
      </c>
      <c r="B67" s="35">
        <v>0</v>
      </c>
      <c r="C67" s="36"/>
      <c r="D67" s="36"/>
      <c r="E67" s="36"/>
      <c r="F67" s="48"/>
    </row>
    <row r="68" spans="1:6" ht="12.75" customHeight="1">
      <c r="A68" s="79" t="s">
        <v>26</v>
      </c>
      <c r="B68" s="35">
        <v>0</v>
      </c>
      <c r="C68" s="36"/>
      <c r="D68" s="36"/>
      <c r="E68" s="36"/>
      <c r="F68" s="48"/>
    </row>
    <row r="69" spans="1:6" ht="12.75" customHeight="1">
      <c r="A69" s="78" t="s">
        <v>0</v>
      </c>
      <c r="B69" s="37">
        <v>6.679048000000002</v>
      </c>
      <c r="C69" s="38">
        <v>3.5698050000000006</v>
      </c>
      <c r="D69" s="39">
        <v>0.11901500000000001</v>
      </c>
      <c r="E69" s="26">
        <v>1.915099</v>
      </c>
      <c r="F69" s="27">
        <v>1.075129</v>
      </c>
    </row>
    <row r="70" spans="1:6" ht="12.75" customHeight="1">
      <c r="A70" s="78" t="s">
        <v>34</v>
      </c>
      <c r="B70" s="37">
        <v>2.306055</v>
      </c>
      <c r="C70" s="38">
        <v>2.067414</v>
      </c>
      <c r="D70" s="39">
        <v>0</v>
      </c>
      <c r="E70" s="39">
        <v>0.20224</v>
      </c>
      <c r="F70" s="49">
        <v>0.036401</v>
      </c>
    </row>
    <row r="71" spans="1:6" ht="12.75" customHeight="1">
      <c r="A71" s="79" t="s">
        <v>13</v>
      </c>
      <c r="B71" s="35">
        <v>2.306055</v>
      </c>
      <c r="C71" s="38">
        <v>2.067414</v>
      </c>
      <c r="D71" s="39"/>
      <c r="E71" s="26">
        <v>0.20224</v>
      </c>
      <c r="F71" s="27">
        <v>0.036401</v>
      </c>
    </row>
    <row r="72" spans="1:6" ht="12.75" customHeight="1" thickBot="1">
      <c r="A72" s="80" t="s">
        <v>14</v>
      </c>
      <c r="B72" s="41">
        <v>2.732</v>
      </c>
      <c r="C72" s="42">
        <v>2.358</v>
      </c>
      <c r="D72" s="43"/>
      <c r="E72" s="43">
        <v>0.311</v>
      </c>
      <c r="F72" s="50">
        <v>0.063</v>
      </c>
    </row>
    <row r="73" spans="1:6" ht="12.75" customHeight="1" thickBot="1">
      <c r="A73" s="72" t="s">
        <v>33</v>
      </c>
      <c r="B73" s="44">
        <v>0</v>
      </c>
      <c r="C73" s="45">
        <v>0</v>
      </c>
      <c r="D73" s="45">
        <v>0</v>
      </c>
      <c r="E73" s="45">
        <v>0</v>
      </c>
      <c r="F73" s="46">
        <v>0</v>
      </c>
    </row>
    <row r="74" spans="1:6" ht="12.75" customHeight="1">
      <c r="A74" s="78" t="s">
        <v>10</v>
      </c>
      <c r="B74" s="17">
        <v>0</v>
      </c>
      <c r="C74" s="18">
        <v>0</v>
      </c>
      <c r="D74" s="18">
        <v>0</v>
      </c>
      <c r="E74" s="18">
        <v>0</v>
      </c>
      <c r="F74" s="19">
        <v>0</v>
      </c>
    </row>
    <row r="75" spans="1:6" ht="12.75" customHeight="1">
      <c r="A75" s="79" t="s">
        <v>4</v>
      </c>
      <c r="B75" s="35">
        <v>0</v>
      </c>
      <c r="C75" s="36"/>
      <c r="D75" s="40"/>
      <c r="E75" s="40"/>
      <c r="F75" s="47"/>
    </row>
    <row r="76" spans="1:6" ht="12.75" customHeight="1">
      <c r="A76" s="79" t="s">
        <v>17</v>
      </c>
      <c r="B76" s="35">
        <v>0</v>
      </c>
      <c r="C76" s="36"/>
      <c r="D76" s="40"/>
      <c r="E76" s="40"/>
      <c r="F76" s="47"/>
    </row>
    <row r="77" spans="1:6" ht="12.75" customHeight="1">
      <c r="A77" s="79" t="s">
        <v>5</v>
      </c>
      <c r="B77" s="35">
        <v>0</v>
      </c>
      <c r="C77" s="36"/>
      <c r="D77" s="40"/>
      <c r="E77" s="40"/>
      <c r="F77" s="47"/>
    </row>
    <row r="78" spans="1:6" ht="12.75" customHeight="1">
      <c r="A78" s="79" t="s">
        <v>23</v>
      </c>
      <c r="B78" s="35">
        <v>0</v>
      </c>
      <c r="C78" s="36"/>
      <c r="D78" s="36"/>
      <c r="E78" s="36"/>
      <c r="F78" s="48"/>
    </row>
    <row r="79" spans="1:6" ht="12.75" customHeight="1">
      <c r="A79" s="79" t="s">
        <v>24</v>
      </c>
      <c r="B79" s="35">
        <v>0</v>
      </c>
      <c r="C79" s="36"/>
      <c r="D79" s="36"/>
      <c r="E79" s="36"/>
      <c r="F79" s="48"/>
    </row>
    <row r="80" spans="1:6" ht="12.75" customHeight="1">
      <c r="A80" s="79" t="s">
        <v>25</v>
      </c>
      <c r="B80" s="35">
        <v>0</v>
      </c>
      <c r="C80" s="36"/>
      <c r="D80" s="36"/>
      <c r="E80" s="36"/>
      <c r="F80" s="48"/>
    </row>
    <row r="81" spans="1:6" ht="12.75" customHeight="1">
      <c r="A81" s="79" t="s">
        <v>26</v>
      </c>
      <c r="B81" s="35">
        <v>0</v>
      </c>
      <c r="C81" s="36"/>
      <c r="D81" s="36"/>
      <c r="E81" s="36"/>
      <c r="F81" s="48"/>
    </row>
    <row r="82" spans="1:6" ht="12.75" customHeight="1">
      <c r="A82" s="78" t="s">
        <v>0</v>
      </c>
      <c r="B82" s="37">
        <v>0</v>
      </c>
      <c r="C82" s="38"/>
      <c r="D82" s="39"/>
      <c r="E82" s="26"/>
      <c r="F82" s="27"/>
    </row>
    <row r="83" spans="1:6" ht="12.75" customHeight="1">
      <c r="A83" s="78" t="s">
        <v>12</v>
      </c>
      <c r="B83" s="37">
        <v>0</v>
      </c>
      <c r="C83" s="38">
        <v>0</v>
      </c>
      <c r="D83" s="39">
        <v>0</v>
      </c>
      <c r="E83" s="39">
        <v>0</v>
      </c>
      <c r="F83" s="49">
        <v>0</v>
      </c>
    </row>
    <row r="84" spans="1:6" ht="12.75" customHeight="1">
      <c r="A84" s="79" t="s">
        <v>13</v>
      </c>
      <c r="B84" s="35">
        <v>0</v>
      </c>
      <c r="C84" s="36"/>
      <c r="D84" s="40"/>
      <c r="E84" s="40"/>
      <c r="F84" s="47"/>
    </row>
    <row r="85" spans="1:6" ht="12.75" customHeight="1" thickBot="1">
      <c r="A85" s="80" t="s">
        <v>14</v>
      </c>
      <c r="B85" s="41">
        <v>0</v>
      </c>
      <c r="C85" s="42"/>
      <c r="D85" s="43"/>
      <c r="E85" s="43"/>
      <c r="F85" s="50"/>
    </row>
    <row r="86" spans="1:6" ht="12.75" customHeight="1" thickBot="1">
      <c r="A86" s="72" t="s">
        <v>35</v>
      </c>
      <c r="B86" s="44">
        <v>2.6844170000000003</v>
      </c>
      <c r="C86" s="45">
        <v>2.648162</v>
      </c>
      <c r="D86" s="45">
        <v>0</v>
      </c>
      <c r="E86" s="45">
        <v>0</v>
      </c>
      <c r="F86" s="46">
        <v>0.036255</v>
      </c>
    </row>
    <row r="87" spans="1:6" ht="12.75" customHeight="1">
      <c r="A87" s="78" t="s">
        <v>10</v>
      </c>
      <c r="B87" s="17">
        <v>0</v>
      </c>
      <c r="C87" s="18">
        <v>0</v>
      </c>
      <c r="D87" s="18">
        <v>0</v>
      </c>
      <c r="E87" s="18">
        <v>0</v>
      </c>
      <c r="F87" s="19">
        <v>0</v>
      </c>
    </row>
    <row r="88" spans="1:6" ht="12.75" customHeight="1">
      <c r="A88" s="79" t="s">
        <v>4</v>
      </c>
      <c r="B88" s="35">
        <v>0</v>
      </c>
      <c r="C88" s="36"/>
      <c r="D88" s="40"/>
      <c r="E88" s="40"/>
      <c r="F88" s="47"/>
    </row>
    <row r="89" spans="1:6" ht="12.75" customHeight="1">
      <c r="A89" s="79" t="s">
        <v>17</v>
      </c>
      <c r="B89" s="35">
        <v>0</v>
      </c>
      <c r="C89" s="36"/>
      <c r="D89" s="40"/>
      <c r="E89" s="40"/>
      <c r="F89" s="47"/>
    </row>
    <row r="90" spans="1:6" ht="12.75" customHeight="1">
      <c r="A90" s="79" t="s">
        <v>5</v>
      </c>
      <c r="B90" s="35">
        <v>0</v>
      </c>
      <c r="C90" s="36"/>
      <c r="D90" s="40"/>
      <c r="E90" s="40"/>
      <c r="F90" s="47"/>
    </row>
    <row r="91" spans="1:6" ht="12.75" customHeight="1">
      <c r="A91" s="79" t="s">
        <v>23</v>
      </c>
      <c r="B91" s="35">
        <v>0</v>
      </c>
      <c r="C91" s="36"/>
      <c r="D91" s="36"/>
      <c r="E91" s="36"/>
      <c r="F91" s="48"/>
    </row>
    <row r="92" spans="1:6" ht="12.75" customHeight="1">
      <c r="A92" s="79" t="s">
        <v>24</v>
      </c>
      <c r="B92" s="35">
        <v>0</v>
      </c>
      <c r="C92" s="36"/>
      <c r="D92" s="36"/>
      <c r="E92" s="36"/>
      <c r="F92" s="48"/>
    </row>
    <row r="93" spans="1:6" ht="12.75" customHeight="1">
      <c r="A93" s="79" t="s">
        <v>25</v>
      </c>
      <c r="B93" s="35">
        <v>0</v>
      </c>
      <c r="C93" s="36"/>
      <c r="D93" s="36"/>
      <c r="E93" s="36"/>
      <c r="F93" s="48"/>
    </row>
    <row r="94" spans="1:6" ht="12.75">
      <c r="A94" s="79" t="s">
        <v>26</v>
      </c>
      <c r="B94" s="35">
        <v>0</v>
      </c>
      <c r="C94" s="36"/>
      <c r="D94" s="36"/>
      <c r="E94" s="36"/>
      <c r="F94" s="48"/>
    </row>
    <row r="95" spans="1:6" ht="13.5">
      <c r="A95" s="78" t="s">
        <v>0</v>
      </c>
      <c r="B95" s="37">
        <v>0.7052700000000001</v>
      </c>
      <c r="C95" s="38">
        <v>0.669015</v>
      </c>
      <c r="D95" s="39"/>
      <c r="E95" s="26"/>
      <c r="F95" s="27">
        <v>0.036255</v>
      </c>
    </row>
    <row r="96" spans="1:6" ht="13.5">
      <c r="A96" s="78" t="s">
        <v>12</v>
      </c>
      <c r="B96" s="37">
        <v>1.9791470000000002</v>
      </c>
      <c r="C96" s="38">
        <v>1.9791470000000002</v>
      </c>
      <c r="D96" s="39">
        <v>0</v>
      </c>
      <c r="E96" s="39">
        <v>0</v>
      </c>
      <c r="F96" s="49">
        <v>0</v>
      </c>
    </row>
    <row r="97" spans="1:6" ht="12.75">
      <c r="A97" s="79" t="s">
        <v>13</v>
      </c>
      <c r="B97" s="35">
        <v>1.9791470000000002</v>
      </c>
      <c r="C97" s="36">
        <v>1.9791470000000002</v>
      </c>
      <c r="D97" s="40"/>
      <c r="E97" s="40"/>
      <c r="F97" s="47"/>
    </row>
    <row r="98" spans="1:6" ht="13.5" thickBot="1">
      <c r="A98" s="80" t="s">
        <v>14</v>
      </c>
      <c r="B98" s="41">
        <v>1.3330000000000002</v>
      </c>
      <c r="C98" s="42">
        <v>1.3330000000000002</v>
      </c>
      <c r="D98" s="43"/>
      <c r="E98" s="43"/>
      <c r="F98" s="50"/>
    </row>
    <row r="99" spans="1:6" ht="13.5" thickBot="1">
      <c r="A99" s="72" t="s">
        <v>18</v>
      </c>
      <c r="B99" s="44">
        <v>5.848349</v>
      </c>
      <c r="C99" s="45">
        <v>0.6472829999999999</v>
      </c>
      <c r="D99" s="45">
        <v>0</v>
      </c>
      <c r="E99" s="45">
        <v>2.304419</v>
      </c>
      <c r="F99" s="46">
        <v>2.8966469999999997</v>
      </c>
    </row>
    <row r="100" spans="1:6" ht="13.5">
      <c r="A100" s="78" t="s">
        <v>10</v>
      </c>
      <c r="B100" s="17">
        <v>2.1681429999999997</v>
      </c>
      <c r="C100" s="18">
        <v>0.08351399999999999</v>
      </c>
      <c r="D100" s="18">
        <v>0</v>
      </c>
      <c r="E100" s="18">
        <v>0.160717</v>
      </c>
      <c r="F100" s="19">
        <v>1.9239119999999996</v>
      </c>
    </row>
    <row r="101" spans="1:6" ht="12.75">
      <c r="A101" s="79" t="s">
        <v>4</v>
      </c>
      <c r="B101" s="35">
        <v>1.384286</v>
      </c>
      <c r="C101" s="36"/>
      <c r="D101" s="40"/>
      <c r="E101" s="40">
        <v>0.01255</v>
      </c>
      <c r="F101" s="47">
        <v>1.3717359999999998</v>
      </c>
    </row>
    <row r="102" spans="1:6" ht="12.75">
      <c r="A102" s="79" t="s">
        <v>17</v>
      </c>
      <c r="B102" s="35">
        <v>0</v>
      </c>
      <c r="C102" s="36"/>
      <c r="D102" s="40"/>
      <c r="E102" s="40"/>
      <c r="F102" s="47"/>
    </row>
    <row r="103" spans="1:6" ht="12.75">
      <c r="A103" s="79" t="s">
        <v>5</v>
      </c>
      <c r="B103" s="35">
        <v>0.542395</v>
      </c>
      <c r="C103" s="36"/>
      <c r="D103" s="40"/>
      <c r="E103" s="40">
        <v>0.00442</v>
      </c>
      <c r="F103" s="47">
        <v>0.537975</v>
      </c>
    </row>
    <row r="104" spans="1:6" ht="12.75">
      <c r="A104" s="79" t="s">
        <v>23</v>
      </c>
      <c r="B104" s="35">
        <v>0</v>
      </c>
      <c r="C104" s="36"/>
      <c r="D104" s="36"/>
      <c r="E104" s="36"/>
      <c r="F104" s="48"/>
    </row>
    <row r="105" spans="1:6" ht="12.75">
      <c r="A105" s="79" t="s">
        <v>24</v>
      </c>
      <c r="B105" s="35">
        <v>0.014201</v>
      </c>
      <c r="C105" s="36"/>
      <c r="D105" s="36"/>
      <c r="E105" s="36"/>
      <c r="F105" s="48">
        <v>0.014201</v>
      </c>
    </row>
    <row r="106" spans="1:6" ht="12.75">
      <c r="A106" s="79" t="s">
        <v>25</v>
      </c>
      <c r="B106" s="35">
        <v>0.227261</v>
      </c>
      <c r="C106" s="36">
        <v>0.08351399999999999</v>
      </c>
      <c r="D106" s="36"/>
      <c r="E106" s="36">
        <v>0.143747</v>
      </c>
      <c r="F106" s="48"/>
    </row>
    <row r="107" spans="1:6" ht="12.75">
      <c r="A107" s="79" t="s">
        <v>26</v>
      </c>
      <c r="B107" s="35">
        <v>0</v>
      </c>
      <c r="C107" s="36"/>
      <c r="D107" s="36"/>
      <c r="E107" s="36"/>
      <c r="F107" s="48"/>
    </row>
    <row r="108" spans="1:6" ht="13.5">
      <c r="A108" s="78" t="s">
        <v>0</v>
      </c>
      <c r="B108" s="37">
        <v>3.270956</v>
      </c>
      <c r="C108" s="38">
        <v>0.563769</v>
      </c>
      <c r="D108" s="39"/>
      <c r="E108" s="26">
        <v>1.849437</v>
      </c>
      <c r="F108" s="27">
        <v>0.85775</v>
      </c>
    </row>
    <row r="109" spans="1:6" ht="13.5">
      <c r="A109" s="78" t="s">
        <v>12</v>
      </c>
      <c r="B109" s="37">
        <v>0.40925</v>
      </c>
      <c r="C109" s="38">
        <v>0</v>
      </c>
      <c r="D109" s="39">
        <v>0</v>
      </c>
      <c r="E109" s="39">
        <v>0.294265</v>
      </c>
      <c r="F109" s="49">
        <v>0.114985</v>
      </c>
    </row>
    <row r="110" spans="1:6" ht="12.75">
      <c r="A110" s="79" t="s">
        <v>13</v>
      </c>
      <c r="B110" s="35">
        <v>0.40925</v>
      </c>
      <c r="C110" s="36"/>
      <c r="D110" s="40"/>
      <c r="E110" s="40">
        <v>0.294265</v>
      </c>
      <c r="F110" s="47">
        <v>0.114985</v>
      </c>
    </row>
    <row r="111" spans="1:6" ht="13.5" thickBot="1">
      <c r="A111" s="80" t="s">
        <v>14</v>
      </c>
      <c r="B111" s="41">
        <v>0.5519999999999999</v>
      </c>
      <c r="C111" s="42"/>
      <c r="D111" s="43"/>
      <c r="E111" s="43">
        <v>0.411</v>
      </c>
      <c r="F111" s="50">
        <v>0.141</v>
      </c>
    </row>
    <row r="112" spans="1:6" ht="13.5" thickBot="1">
      <c r="A112" s="72" t="s">
        <v>28</v>
      </c>
      <c r="B112" s="44">
        <v>2.509838</v>
      </c>
      <c r="C112" s="45">
        <v>1.267748</v>
      </c>
      <c r="D112" s="45">
        <v>0</v>
      </c>
      <c r="E112" s="45">
        <v>0.6927409999999999</v>
      </c>
      <c r="F112" s="46">
        <v>0.549349</v>
      </c>
    </row>
    <row r="113" spans="1:6" ht="13.5">
      <c r="A113" s="78" t="s">
        <v>10</v>
      </c>
      <c r="B113" s="17">
        <v>0.510361</v>
      </c>
      <c r="C113" s="18">
        <v>0.001737</v>
      </c>
      <c r="D113" s="18">
        <v>0</v>
      </c>
      <c r="E113" s="18">
        <v>0</v>
      </c>
      <c r="F113" s="19">
        <v>0.508624</v>
      </c>
    </row>
    <row r="114" spans="1:6" ht="12.75">
      <c r="A114" s="79" t="s">
        <v>4</v>
      </c>
      <c r="B114" s="35">
        <v>0.497498</v>
      </c>
      <c r="C114" s="36"/>
      <c r="D114" s="40"/>
      <c r="E114" s="40"/>
      <c r="F114" s="47">
        <v>0.497498</v>
      </c>
    </row>
    <row r="115" spans="1:6" ht="12.75">
      <c r="A115" s="79" t="s">
        <v>17</v>
      </c>
      <c r="B115" s="35">
        <v>0.011126</v>
      </c>
      <c r="C115" s="36"/>
      <c r="D115" s="40"/>
      <c r="E115" s="40"/>
      <c r="F115" s="47">
        <v>0.011126</v>
      </c>
    </row>
    <row r="116" spans="1:6" ht="12.75">
      <c r="A116" s="79" t="s">
        <v>5</v>
      </c>
      <c r="B116" s="35">
        <v>0</v>
      </c>
      <c r="C116" s="36"/>
      <c r="D116" s="40"/>
      <c r="E116" s="40"/>
      <c r="F116" s="47"/>
    </row>
    <row r="117" spans="1:6" ht="12.75">
      <c r="A117" s="79" t="s">
        <v>23</v>
      </c>
      <c r="B117" s="35">
        <v>0</v>
      </c>
      <c r="C117" s="36"/>
      <c r="D117" s="36"/>
      <c r="E117" s="36"/>
      <c r="F117" s="48"/>
    </row>
    <row r="118" spans="1:6" ht="12.75">
      <c r="A118" s="79" t="s">
        <v>24</v>
      </c>
      <c r="B118" s="35">
        <v>0</v>
      </c>
      <c r="C118" s="36"/>
      <c r="D118" s="36"/>
      <c r="E118" s="36"/>
      <c r="F118" s="48"/>
    </row>
    <row r="119" spans="1:6" ht="12.75">
      <c r="A119" s="79" t="s">
        <v>25</v>
      </c>
      <c r="B119" s="35">
        <v>0</v>
      </c>
      <c r="C119" s="36"/>
      <c r="D119" s="36"/>
      <c r="E119" s="36"/>
      <c r="F119" s="48"/>
    </row>
    <row r="120" spans="1:6" ht="12.75">
      <c r="A120" s="79" t="s">
        <v>26</v>
      </c>
      <c r="B120" s="35">
        <v>0.001737</v>
      </c>
      <c r="C120" s="36">
        <v>0.001737</v>
      </c>
      <c r="D120" s="36"/>
      <c r="E120" s="36"/>
      <c r="F120" s="48"/>
    </row>
    <row r="121" spans="1:6" ht="13.5">
      <c r="A121" s="78" t="s">
        <v>0</v>
      </c>
      <c r="B121" s="37">
        <v>1.963587</v>
      </c>
      <c r="C121" s="38">
        <v>1.266011</v>
      </c>
      <c r="D121" s="39"/>
      <c r="E121" s="26">
        <v>0.679746</v>
      </c>
      <c r="F121" s="27">
        <v>0.01783</v>
      </c>
    </row>
    <row r="122" spans="1:6" ht="13.5">
      <c r="A122" s="78" t="s">
        <v>12</v>
      </c>
      <c r="B122" s="37">
        <v>0.03589</v>
      </c>
      <c r="C122" s="38">
        <v>0</v>
      </c>
      <c r="D122" s="39">
        <v>0</v>
      </c>
      <c r="E122" s="39">
        <v>0.012995</v>
      </c>
      <c r="F122" s="49">
        <v>0.022895</v>
      </c>
    </row>
    <row r="123" spans="1:6" ht="12.75">
      <c r="A123" s="79" t="s">
        <v>13</v>
      </c>
      <c r="B123" s="35">
        <v>0.03589</v>
      </c>
      <c r="C123" s="36"/>
      <c r="D123" s="40"/>
      <c r="E123" s="40">
        <v>0.012995</v>
      </c>
      <c r="F123" s="47">
        <v>0.022895</v>
      </c>
    </row>
    <row r="124" spans="1:6" ht="13.5" thickBot="1">
      <c r="A124" s="80" t="s">
        <v>14</v>
      </c>
      <c r="B124" s="41">
        <v>0.063</v>
      </c>
      <c r="C124" s="42"/>
      <c r="D124" s="43"/>
      <c r="E124" s="43">
        <v>0.03</v>
      </c>
      <c r="F124" s="50">
        <v>0.033</v>
      </c>
    </row>
    <row r="125" spans="1:6" ht="13.5" thickBot="1">
      <c r="A125" s="72" t="s">
        <v>19</v>
      </c>
      <c r="B125" s="44">
        <v>3.2197549999999997</v>
      </c>
      <c r="C125" s="45">
        <v>1.4960079999999998</v>
      </c>
      <c r="D125" s="45">
        <v>0</v>
      </c>
      <c r="E125" s="45">
        <v>1.027765</v>
      </c>
      <c r="F125" s="46">
        <v>0.695982</v>
      </c>
    </row>
    <row r="126" spans="1:6" ht="13.5">
      <c r="A126" s="78" t="s">
        <v>10</v>
      </c>
      <c r="B126" s="17">
        <v>0.49244299999999996</v>
      </c>
      <c r="C126" s="18">
        <v>0</v>
      </c>
      <c r="D126" s="18">
        <v>0</v>
      </c>
      <c r="E126" s="18">
        <v>0.063909</v>
      </c>
      <c r="F126" s="19">
        <v>0.42853399999999997</v>
      </c>
    </row>
    <row r="127" spans="1:6" ht="12.75">
      <c r="A127" s="79" t="s">
        <v>4</v>
      </c>
      <c r="B127" s="35">
        <v>0.17310999999999999</v>
      </c>
      <c r="C127" s="36"/>
      <c r="D127" s="40"/>
      <c r="E127" s="40">
        <v>0.052875</v>
      </c>
      <c r="F127" s="47">
        <v>0.120235</v>
      </c>
    </row>
    <row r="128" spans="1:6" ht="12.75">
      <c r="A128" s="79" t="s">
        <v>17</v>
      </c>
      <c r="B128" s="35">
        <v>0.02061</v>
      </c>
      <c r="C128" s="36"/>
      <c r="D128" s="40"/>
      <c r="E128" s="40">
        <v>0.00514</v>
      </c>
      <c r="F128" s="47">
        <v>0.015470000000000001</v>
      </c>
    </row>
    <row r="129" spans="1:6" ht="12.75">
      <c r="A129" s="79" t="s">
        <v>5</v>
      </c>
      <c r="B129" s="35">
        <v>0.29785</v>
      </c>
      <c r="C129" s="36"/>
      <c r="D129" s="40"/>
      <c r="E129" s="40">
        <v>0.005021</v>
      </c>
      <c r="F129" s="47">
        <v>0.292829</v>
      </c>
    </row>
    <row r="130" spans="1:6" ht="12.75">
      <c r="A130" s="79" t="s">
        <v>23</v>
      </c>
      <c r="B130" s="35">
        <v>0</v>
      </c>
      <c r="C130" s="36"/>
      <c r="D130" s="36"/>
      <c r="E130" s="36"/>
      <c r="F130" s="48"/>
    </row>
    <row r="131" spans="1:6" ht="12.75">
      <c r="A131" s="79" t="s">
        <v>24</v>
      </c>
      <c r="B131" s="35">
        <v>0.00013900000000000002</v>
      </c>
      <c r="C131" s="36"/>
      <c r="D131" s="36"/>
      <c r="E131" s="36">
        <v>0.00013900000000000002</v>
      </c>
      <c r="F131" s="48"/>
    </row>
    <row r="132" spans="1:6" ht="12.75">
      <c r="A132" s="79" t="s">
        <v>25</v>
      </c>
      <c r="B132" s="35">
        <v>0</v>
      </c>
      <c r="C132" s="36"/>
      <c r="D132" s="36"/>
      <c r="E132" s="36"/>
      <c r="F132" s="48"/>
    </row>
    <row r="133" spans="1:6" ht="12.75">
      <c r="A133" s="79" t="s">
        <v>26</v>
      </c>
      <c r="B133" s="35">
        <v>0.000734</v>
      </c>
      <c r="C133" s="36"/>
      <c r="D133" s="36"/>
      <c r="E133" s="36">
        <v>0.000734</v>
      </c>
      <c r="F133" s="48"/>
    </row>
    <row r="134" spans="1:6" ht="13.5">
      <c r="A134" s="78" t="s">
        <v>0</v>
      </c>
      <c r="B134" s="37">
        <v>2.326252</v>
      </c>
      <c r="C134" s="38">
        <v>1.3678219999999999</v>
      </c>
      <c r="D134" s="39"/>
      <c r="E134" s="26">
        <v>0.752482</v>
      </c>
      <c r="F134" s="27">
        <v>0.20594800000000002</v>
      </c>
    </row>
    <row r="135" spans="1:6" ht="13.5">
      <c r="A135" s="78" t="s">
        <v>12</v>
      </c>
      <c r="B135" s="37">
        <v>0.40105999999999997</v>
      </c>
      <c r="C135" s="38">
        <v>0.128186</v>
      </c>
      <c r="D135" s="39">
        <v>0</v>
      </c>
      <c r="E135" s="39">
        <v>0.211374</v>
      </c>
      <c r="F135" s="49">
        <v>0.0615</v>
      </c>
    </row>
    <row r="136" spans="1:6" ht="12.75">
      <c r="A136" s="79" t="s">
        <v>13</v>
      </c>
      <c r="B136" s="35">
        <v>0.40105999999999997</v>
      </c>
      <c r="C136" s="36">
        <v>0.128186</v>
      </c>
      <c r="D136" s="40"/>
      <c r="E136" s="36">
        <v>0.211374</v>
      </c>
      <c r="F136" s="47">
        <v>0.0615</v>
      </c>
    </row>
    <row r="137" spans="1:6" ht="13.5" thickBot="1">
      <c r="A137" s="80" t="s">
        <v>14</v>
      </c>
      <c r="B137" s="41">
        <v>0.62</v>
      </c>
      <c r="C137" s="42">
        <v>0.198</v>
      </c>
      <c r="D137" s="43"/>
      <c r="E137" s="42">
        <v>0.322</v>
      </c>
      <c r="F137" s="50">
        <v>0.1</v>
      </c>
    </row>
    <row r="138" spans="1:6" ht="13.5" thickBot="1">
      <c r="A138" s="72" t="s">
        <v>20</v>
      </c>
      <c r="B138" s="44">
        <v>0.8576539999999999</v>
      </c>
      <c r="C138" s="45">
        <v>0</v>
      </c>
      <c r="D138" s="45">
        <v>0</v>
      </c>
      <c r="E138" s="45">
        <v>0.408433</v>
      </c>
      <c r="F138" s="46">
        <v>0.449221</v>
      </c>
    </row>
    <row r="139" spans="1:6" ht="13.5">
      <c r="A139" s="78" t="s">
        <v>10</v>
      </c>
      <c r="B139" s="17">
        <v>0.30475499999999994</v>
      </c>
      <c r="C139" s="18">
        <v>0</v>
      </c>
      <c r="D139" s="18">
        <v>0</v>
      </c>
      <c r="E139" s="18">
        <v>0</v>
      </c>
      <c r="F139" s="19">
        <v>0.30475499999999994</v>
      </c>
    </row>
    <row r="140" spans="1:6" ht="12.75">
      <c r="A140" s="79" t="s">
        <v>4</v>
      </c>
      <c r="B140" s="35">
        <v>0.24843699999999996</v>
      </c>
      <c r="C140" s="36"/>
      <c r="D140" s="36"/>
      <c r="E140" s="36"/>
      <c r="F140" s="48">
        <v>0.24843699999999996</v>
      </c>
    </row>
    <row r="141" spans="1:6" ht="12.75">
      <c r="A141" s="79" t="s">
        <v>17</v>
      </c>
      <c r="B141" s="35">
        <v>0</v>
      </c>
      <c r="C141" s="36"/>
      <c r="D141" s="36"/>
      <c r="E141" s="36"/>
      <c r="F141" s="48"/>
    </row>
    <row r="142" spans="1:6" ht="12.75">
      <c r="A142" s="79" t="s">
        <v>5</v>
      </c>
      <c r="B142" s="35">
        <v>0.056318</v>
      </c>
      <c r="C142" s="36"/>
      <c r="D142" s="36"/>
      <c r="E142" s="36"/>
      <c r="F142" s="48">
        <v>0.056318</v>
      </c>
    </row>
    <row r="143" spans="1:6" ht="12.75">
      <c r="A143" s="79" t="s">
        <v>23</v>
      </c>
      <c r="B143" s="35">
        <v>0</v>
      </c>
      <c r="C143" s="36"/>
      <c r="D143" s="36"/>
      <c r="E143" s="36"/>
      <c r="F143" s="48"/>
    </row>
    <row r="144" spans="1:6" ht="12.75">
      <c r="A144" s="79" t="s">
        <v>24</v>
      </c>
      <c r="B144" s="35">
        <v>0</v>
      </c>
      <c r="C144" s="36"/>
      <c r="D144" s="36"/>
      <c r="E144" s="36"/>
      <c r="F144" s="48"/>
    </row>
    <row r="145" spans="1:6" ht="12.75">
      <c r="A145" s="79" t="s">
        <v>25</v>
      </c>
      <c r="B145" s="35">
        <v>0</v>
      </c>
      <c r="C145" s="36"/>
      <c r="D145" s="36"/>
      <c r="E145" s="36"/>
      <c r="F145" s="48"/>
    </row>
    <row r="146" spans="1:6" ht="12.75">
      <c r="A146" s="79" t="s">
        <v>26</v>
      </c>
      <c r="B146" s="35">
        <v>0</v>
      </c>
      <c r="C146" s="36"/>
      <c r="D146" s="36"/>
      <c r="E146" s="36"/>
      <c r="F146" s="48"/>
    </row>
    <row r="147" spans="1:6" ht="13.5">
      <c r="A147" s="78" t="s">
        <v>0</v>
      </c>
      <c r="B147" s="23">
        <v>0.41168499999999997</v>
      </c>
      <c r="C147" s="24">
        <v>0</v>
      </c>
      <c r="D147" s="24"/>
      <c r="E147" s="24">
        <v>0.267219</v>
      </c>
      <c r="F147" s="25">
        <v>0.144466</v>
      </c>
    </row>
    <row r="148" spans="1:6" ht="13.5">
      <c r="A148" s="78" t="s">
        <v>12</v>
      </c>
      <c r="B148" s="37">
        <v>0.141214</v>
      </c>
      <c r="C148" s="38">
        <v>0</v>
      </c>
      <c r="D148" s="39">
        <v>0</v>
      </c>
      <c r="E148" s="39">
        <v>0.141214</v>
      </c>
      <c r="F148" s="49">
        <v>0</v>
      </c>
    </row>
    <row r="149" spans="1:6" ht="12.75">
      <c r="A149" s="79" t="s">
        <v>13</v>
      </c>
      <c r="B149" s="35">
        <v>0.141214</v>
      </c>
      <c r="C149" s="36"/>
      <c r="D149" s="40"/>
      <c r="E149" s="40">
        <v>0.141214</v>
      </c>
      <c r="F149" s="47"/>
    </row>
    <row r="150" spans="1:6" ht="13.5" thickBot="1">
      <c r="A150" s="80" t="s">
        <v>14</v>
      </c>
      <c r="B150" s="41">
        <v>0.195</v>
      </c>
      <c r="C150" s="42"/>
      <c r="D150" s="43"/>
      <c r="E150" s="43">
        <v>0.195</v>
      </c>
      <c r="F150" s="50"/>
    </row>
    <row r="151" spans="1:6" ht="13.5" thickBot="1">
      <c r="A151" s="72" t="s">
        <v>21</v>
      </c>
      <c r="B151" s="44">
        <v>2.33753</v>
      </c>
      <c r="C151" s="45">
        <v>0</v>
      </c>
      <c r="D151" s="45">
        <v>0</v>
      </c>
      <c r="E151" s="45">
        <v>1.2689290000000002</v>
      </c>
      <c r="F151" s="46">
        <v>1.068601</v>
      </c>
    </row>
    <row r="152" spans="1:6" ht="13.5">
      <c r="A152" s="78" t="s">
        <v>10</v>
      </c>
      <c r="B152" s="17">
        <v>1.121291</v>
      </c>
      <c r="C152" s="18">
        <v>0</v>
      </c>
      <c r="D152" s="18">
        <v>0</v>
      </c>
      <c r="E152" s="18">
        <v>0.386982</v>
      </c>
      <c r="F152" s="19">
        <v>0.734309</v>
      </c>
    </row>
    <row r="153" spans="1:6" ht="12.75">
      <c r="A153" s="79" t="s">
        <v>4</v>
      </c>
      <c r="B153" s="35">
        <v>0.644641</v>
      </c>
      <c r="C153" s="36"/>
      <c r="D153" s="40"/>
      <c r="E153" s="40">
        <v>0.181814</v>
      </c>
      <c r="F153" s="47">
        <v>0.462827</v>
      </c>
    </row>
    <row r="154" spans="1:6" ht="12.75">
      <c r="A154" s="79" t="s">
        <v>17</v>
      </c>
      <c r="B154" s="35">
        <v>0.28432999999999997</v>
      </c>
      <c r="C154" s="36"/>
      <c r="D154" s="40"/>
      <c r="E154" s="40">
        <v>0.20119499999999998</v>
      </c>
      <c r="F154" s="47">
        <v>0.083135</v>
      </c>
    </row>
    <row r="155" spans="1:6" ht="12.75">
      <c r="A155" s="79" t="s">
        <v>5</v>
      </c>
      <c r="B155" s="35">
        <v>0.188077</v>
      </c>
      <c r="C155" s="36"/>
      <c r="D155" s="40"/>
      <c r="E155" s="40">
        <v>0.002016</v>
      </c>
      <c r="F155" s="47">
        <v>0.186061</v>
      </c>
    </row>
    <row r="156" spans="1:6" ht="12.75">
      <c r="A156" s="79" t="s">
        <v>23</v>
      </c>
      <c r="B156" s="35">
        <v>0</v>
      </c>
      <c r="C156" s="36"/>
      <c r="D156" s="36"/>
      <c r="E156" s="36"/>
      <c r="F156" s="48"/>
    </row>
    <row r="157" spans="1:6" ht="12.75">
      <c r="A157" s="79" t="s">
        <v>24</v>
      </c>
      <c r="B157" s="35">
        <v>0.0020499999999999997</v>
      </c>
      <c r="C157" s="36"/>
      <c r="D157" s="36"/>
      <c r="E157" s="36"/>
      <c r="F157" s="48">
        <v>0.0020499999999999997</v>
      </c>
    </row>
    <row r="158" spans="1:6" ht="12.75">
      <c r="A158" s="79" t="s">
        <v>25</v>
      </c>
      <c r="B158" s="35">
        <v>0</v>
      </c>
      <c r="C158" s="36"/>
      <c r="D158" s="36"/>
      <c r="E158" s="36"/>
      <c r="F158" s="48"/>
    </row>
    <row r="159" spans="1:6" ht="12.75">
      <c r="A159" s="79" t="s">
        <v>26</v>
      </c>
      <c r="B159" s="35">
        <v>0.002193</v>
      </c>
      <c r="C159" s="36"/>
      <c r="D159" s="36"/>
      <c r="E159" s="36">
        <v>0.001957</v>
      </c>
      <c r="F159" s="48">
        <v>0.000236</v>
      </c>
    </row>
    <row r="160" spans="1:6" ht="13.5">
      <c r="A160" s="78" t="s">
        <v>0</v>
      </c>
      <c r="B160" s="37">
        <v>0.9652860000000001</v>
      </c>
      <c r="C160" s="38"/>
      <c r="D160" s="39"/>
      <c r="E160" s="26">
        <v>0.6454840000000001</v>
      </c>
      <c r="F160" s="27">
        <v>0.31980200000000003</v>
      </c>
    </row>
    <row r="161" spans="1:6" ht="13.5">
      <c r="A161" s="78" t="s">
        <v>12</v>
      </c>
      <c r="B161" s="37">
        <v>0.250953</v>
      </c>
      <c r="C161" s="38">
        <v>0</v>
      </c>
      <c r="D161" s="39">
        <v>0</v>
      </c>
      <c r="E161" s="39">
        <v>0.236463</v>
      </c>
      <c r="F161" s="49">
        <v>0.01449</v>
      </c>
    </row>
    <row r="162" spans="1:6" ht="12.75">
      <c r="A162" s="79" t="s">
        <v>13</v>
      </c>
      <c r="B162" s="35">
        <v>0.250953</v>
      </c>
      <c r="C162" s="36"/>
      <c r="D162" s="40"/>
      <c r="E162" s="40">
        <v>0.236463</v>
      </c>
      <c r="F162" s="47">
        <v>0.01449</v>
      </c>
    </row>
    <row r="163" spans="1:6" ht="13.5" thickBot="1">
      <c r="A163" s="80" t="s">
        <v>14</v>
      </c>
      <c r="B163" s="41">
        <v>0.343</v>
      </c>
      <c r="C163" s="42"/>
      <c r="D163" s="43"/>
      <c r="E163" s="43">
        <v>0.319</v>
      </c>
      <c r="F163" s="50">
        <v>0.024</v>
      </c>
    </row>
    <row r="164" spans="1:6" ht="13.5" thickBot="1">
      <c r="A164" s="72" t="s">
        <v>22</v>
      </c>
      <c r="B164" s="44">
        <v>2.756805</v>
      </c>
      <c r="C164" s="45">
        <v>0</v>
      </c>
      <c r="D164" s="45">
        <v>0</v>
      </c>
      <c r="E164" s="45">
        <v>1.6354270000000002</v>
      </c>
      <c r="F164" s="46">
        <v>1.121378</v>
      </c>
    </row>
    <row r="165" spans="1:6" ht="13.5">
      <c r="A165" s="78" t="s">
        <v>10</v>
      </c>
      <c r="B165" s="17">
        <v>1.6410770000000001</v>
      </c>
      <c r="C165" s="18">
        <v>0</v>
      </c>
      <c r="D165" s="18">
        <v>0</v>
      </c>
      <c r="E165" s="18">
        <v>0.6823600000000001</v>
      </c>
      <c r="F165" s="19">
        <v>0.9587170000000002</v>
      </c>
    </row>
    <row r="166" spans="1:6" ht="13.5">
      <c r="A166" s="78" t="s">
        <v>4</v>
      </c>
      <c r="B166" s="35">
        <v>1.082337</v>
      </c>
      <c r="C166" s="36"/>
      <c r="D166" s="40"/>
      <c r="E166" s="40">
        <v>0.385803</v>
      </c>
      <c r="F166" s="47">
        <v>0.6965340000000001</v>
      </c>
    </row>
    <row r="167" spans="1:6" ht="13.5">
      <c r="A167" s="78" t="s">
        <v>17</v>
      </c>
      <c r="B167" s="35">
        <v>0.49348400000000003</v>
      </c>
      <c r="C167" s="36"/>
      <c r="D167" s="40"/>
      <c r="E167" s="40">
        <v>0.275887</v>
      </c>
      <c r="F167" s="47">
        <v>0.217597</v>
      </c>
    </row>
    <row r="168" spans="1:6" ht="13.5">
      <c r="A168" s="78" t="s">
        <v>5</v>
      </c>
      <c r="B168" s="35">
        <v>0.056674</v>
      </c>
      <c r="C168" s="36"/>
      <c r="D168" s="40"/>
      <c r="E168" s="40">
        <v>0.012332</v>
      </c>
      <c r="F168" s="47">
        <v>0.044342</v>
      </c>
    </row>
    <row r="169" spans="1:6" ht="12.75">
      <c r="A169" s="79" t="s">
        <v>23</v>
      </c>
      <c r="B169" s="35">
        <v>0</v>
      </c>
      <c r="C169" s="36"/>
      <c r="D169" s="36"/>
      <c r="E169" s="36"/>
      <c r="F169" s="48"/>
    </row>
    <row r="170" spans="1:6" ht="12.75">
      <c r="A170" s="79" t="s">
        <v>24</v>
      </c>
      <c r="B170" s="35">
        <v>0.007603</v>
      </c>
      <c r="C170" s="36"/>
      <c r="D170" s="36"/>
      <c r="E170" s="36">
        <v>0.007603</v>
      </c>
      <c r="F170" s="48"/>
    </row>
    <row r="171" spans="1:6" ht="12.75">
      <c r="A171" s="79" t="s">
        <v>25</v>
      </c>
      <c r="B171" s="35">
        <v>0</v>
      </c>
      <c r="C171" s="36"/>
      <c r="D171" s="36"/>
      <c r="E171" s="36"/>
      <c r="F171" s="48"/>
    </row>
    <row r="172" spans="1:6" ht="12.75">
      <c r="A172" s="79" t="s">
        <v>26</v>
      </c>
      <c r="B172" s="35">
        <v>0.000979</v>
      </c>
      <c r="C172" s="36"/>
      <c r="D172" s="36"/>
      <c r="E172" s="36">
        <v>0.000735</v>
      </c>
      <c r="F172" s="48">
        <v>0.000244</v>
      </c>
    </row>
    <row r="173" spans="1:6" ht="13.5">
      <c r="A173" s="78" t="s">
        <v>0</v>
      </c>
      <c r="B173" s="37">
        <v>1.005485</v>
      </c>
      <c r="C173" s="38"/>
      <c r="D173" s="39"/>
      <c r="E173" s="26">
        <v>0.917733</v>
      </c>
      <c r="F173" s="27">
        <v>0.08775200000000001</v>
      </c>
    </row>
    <row r="174" spans="1:6" ht="13.5">
      <c r="A174" s="78" t="s">
        <v>12</v>
      </c>
      <c r="B174" s="37">
        <v>0.11024300000000001</v>
      </c>
      <c r="C174" s="38">
        <v>0</v>
      </c>
      <c r="D174" s="39">
        <v>0</v>
      </c>
      <c r="E174" s="39">
        <v>0.035334000000000004</v>
      </c>
      <c r="F174" s="49">
        <v>0.074909</v>
      </c>
    </row>
    <row r="175" spans="1:6" ht="12.75">
      <c r="A175" s="79" t="s">
        <v>13</v>
      </c>
      <c r="B175" s="35">
        <v>0.11024300000000001</v>
      </c>
      <c r="C175" s="36"/>
      <c r="D175" s="40"/>
      <c r="E175" s="40">
        <v>0.035334000000000004</v>
      </c>
      <c r="F175" s="47">
        <v>0.074909</v>
      </c>
    </row>
    <row r="176" spans="1:6" ht="13.5" thickBot="1">
      <c r="A176" s="80" t="s">
        <v>14</v>
      </c>
      <c r="B176" s="41">
        <v>0.21699999999999997</v>
      </c>
      <c r="C176" s="42"/>
      <c r="D176" s="43"/>
      <c r="E176" s="43">
        <v>0.072</v>
      </c>
      <c r="F176" s="50">
        <v>0.145</v>
      </c>
    </row>
    <row r="177" spans="1:6" ht="13.5" thickBot="1">
      <c r="A177" s="72" t="s">
        <v>36</v>
      </c>
      <c r="B177" s="44">
        <v>6.225482999999999</v>
      </c>
      <c r="C177" s="45">
        <v>0</v>
      </c>
      <c r="D177" s="45">
        <v>0</v>
      </c>
      <c r="E177" s="45">
        <v>1.2281</v>
      </c>
      <c r="F177" s="46">
        <v>4.997382999999999</v>
      </c>
    </row>
    <row r="178" spans="1:6" ht="13.5">
      <c r="A178" s="78" t="s">
        <v>10</v>
      </c>
      <c r="B178" s="17">
        <v>3.8376099999999997</v>
      </c>
      <c r="C178" s="18">
        <v>0</v>
      </c>
      <c r="D178" s="18">
        <v>0</v>
      </c>
      <c r="E178" s="18">
        <v>0.03867</v>
      </c>
      <c r="F178" s="19">
        <v>3.7989399999999995</v>
      </c>
    </row>
    <row r="179" spans="1:6" ht="12.75">
      <c r="A179" s="79" t="s">
        <v>4</v>
      </c>
      <c r="B179" s="35">
        <v>0.35594</v>
      </c>
      <c r="C179" s="36"/>
      <c r="D179" s="40"/>
      <c r="E179" s="40">
        <v>0.00516</v>
      </c>
      <c r="F179" s="47">
        <v>0.35078</v>
      </c>
    </row>
    <row r="180" spans="1:6" ht="12.75">
      <c r="A180" s="79" t="s">
        <v>17</v>
      </c>
      <c r="B180" s="35">
        <v>0</v>
      </c>
      <c r="C180" s="36"/>
      <c r="D180" s="40"/>
      <c r="E180" s="40"/>
      <c r="F180" s="47"/>
    </row>
    <row r="181" spans="1:6" ht="12.75">
      <c r="A181" s="79" t="s">
        <v>5</v>
      </c>
      <c r="B181" s="35">
        <v>3.46969</v>
      </c>
      <c r="C181" s="36"/>
      <c r="D181" s="40"/>
      <c r="E181" s="40">
        <v>0.02449</v>
      </c>
      <c r="F181" s="47">
        <v>3.4452</v>
      </c>
    </row>
    <row r="182" spans="1:6" ht="12.75">
      <c r="A182" s="79" t="s">
        <v>23</v>
      </c>
      <c r="B182" s="35">
        <v>0</v>
      </c>
      <c r="C182" s="36"/>
      <c r="D182" s="36"/>
      <c r="E182" s="36"/>
      <c r="F182" s="48"/>
    </row>
    <row r="183" spans="1:6" ht="12.75">
      <c r="A183" s="79" t="s">
        <v>24</v>
      </c>
      <c r="B183" s="35">
        <v>0.011980000000000001</v>
      </c>
      <c r="C183" s="36"/>
      <c r="D183" s="36"/>
      <c r="E183" s="36">
        <v>0.00902</v>
      </c>
      <c r="F183" s="48">
        <v>0.00296</v>
      </c>
    </row>
    <row r="184" spans="1:6" ht="12.75">
      <c r="A184" s="79" t="s">
        <v>25</v>
      </c>
      <c r="B184" s="35">
        <v>0</v>
      </c>
      <c r="C184" s="36"/>
      <c r="D184" s="36"/>
      <c r="E184" s="36"/>
      <c r="F184" s="48"/>
    </row>
    <row r="185" spans="1:6" ht="12.75">
      <c r="A185" s="79" t="s">
        <v>26</v>
      </c>
      <c r="B185" s="35">
        <v>0</v>
      </c>
      <c r="C185" s="36"/>
      <c r="D185" s="36"/>
      <c r="E185" s="36"/>
      <c r="F185" s="48"/>
    </row>
    <row r="186" spans="1:6" ht="13.5">
      <c r="A186" s="78" t="s">
        <v>0</v>
      </c>
      <c r="B186" s="37">
        <v>2.1763500000000002</v>
      </c>
      <c r="C186" s="38"/>
      <c r="D186" s="39"/>
      <c r="E186" s="26">
        <v>1.09009</v>
      </c>
      <c r="F186" s="27">
        <v>1.08626</v>
      </c>
    </row>
    <row r="187" spans="1:6" ht="13.5">
      <c r="A187" s="82" t="s">
        <v>12</v>
      </c>
      <c r="B187" s="23">
        <v>0.21152300000000002</v>
      </c>
      <c r="C187" s="24">
        <v>0</v>
      </c>
      <c r="D187" s="26">
        <v>0</v>
      </c>
      <c r="E187" s="26">
        <v>0.09934</v>
      </c>
      <c r="F187" s="27">
        <v>0.112183</v>
      </c>
    </row>
    <row r="188" spans="1:6" ht="12.75">
      <c r="A188" s="79" t="s">
        <v>13</v>
      </c>
      <c r="B188" s="35">
        <v>0.21152300000000002</v>
      </c>
      <c r="C188" s="36"/>
      <c r="D188" s="40"/>
      <c r="E188" s="40">
        <v>0.09934</v>
      </c>
      <c r="F188" s="47">
        <v>0.112183</v>
      </c>
    </row>
    <row r="189" spans="1:6" ht="13.5" thickBot="1">
      <c r="A189" s="80" t="s">
        <v>14</v>
      </c>
      <c r="B189" s="41">
        <v>0.36</v>
      </c>
      <c r="C189" s="42"/>
      <c r="D189" s="43"/>
      <c r="E189" s="43">
        <v>0.166</v>
      </c>
      <c r="F189" s="50">
        <v>0.194</v>
      </c>
    </row>
    <row r="190" spans="1:6" ht="13.5" thickBot="1">
      <c r="A190" s="72" t="s">
        <v>30</v>
      </c>
      <c r="B190" s="44">
        <v>0.380755</v>
      </c>
      <c r="C190" s="45">
        <v>0</v>
      </c>
      <c r="D190" s="45">
        <v>0</v>
      </c>
      <c r="E190" s="45">
        <v>0.357305</v>
      </c>
      <c r="F190" s="46">
        <v>0.023450000000000002</v>
      </c>
    </row>
    <row r="191" spans="1:6" ht="13.5">
      <c r="A191" s="78" t="s">
        <v>10</v>
      </c>
      <c r="B191" s="17">
        <v>0.031993</v>
      </c>
      <c r="C191" s="18">
        <v>0</v>
      </c>
      <c r="D191" s="18">
        <v>0</v>
      </c>
      <c r="E191" s="18">
        <v>0.008568</v>
      </c>
      <c r="F191" s="19">
        <v>0.023425</v>
      </c>
    </row>
    <row r="192" spans="1:6" ht="12.75">
      <c r="A192" s="79" t="s">
        <v>4</v>
      </c>
      <c r="B192" s="35">
        <v>0.023425</v>
      </c>
      <c r="C192" s="36"/>
      <c r="D192" s="40"/>
      <c r="E192" s="40"/>
      <c r="F192" s="47">
        <v>0.023425</v>
      </c>
    </row>
    <row r="193" spans="1:6" ht="12.75">
      <c r="A193" s="79" t="s">
        <v>17</v>
      </c>
      <c r="B193" s="35">
        <v>0</v>
      </c>
      <c r="C193" s="36"/>
      <c r="D193" s="40"/>
      <c r="E193" s="40"/>
      <c r="F193" s="47"/>
    </row>
    <row r="194" spans="1:6" ht="12.75">
      <c r="A194" s="79" t="s">
        <v>5</v>
      </c>
      <c r="B194" s="35">
        <v>0.0005679999999999999</v>
      </c>
      <c r="C194" s="36"/>
      <c r="D194" s="40"/>
      <c r="E194" s="40">
        <v>0.0005679999999999999</v>
      </c>
      <c r="F194" s="47"/>
    </row>
    <row r="195" spans="1:6" ht="12.75">
      <c r="A195" s="79" t="s">
        <v>23</v>
      </c>
      <c r="B195" s="35">
        <v>0</v>
      </c>
      <c r="C195" s="36"/>
      <c r="D195" s="36"/>
      <c r="E195" s="36"/>
      <c r="F195" s="48"/>
    </row>
    <row r="196" spans="1:6" ht="12.75">
      <c r="A196" s="79" t="s">
        <v>24</v>
      </c>
      <c r="B196" s="35">
        <v>0</v>
      </c>
      <c r="C196" s="36"/>
      <c r="D196" s="36"/>
      <c r="E196" s="36"/>
      <c r="F196" s="48"/>
    </row>
    <row r="197" spans="1:6" ht="12.75">
      <c r="A197" s="79" t="s">
        <v>25</v>
      </c>
      <c r="B197" s="35">
        <v>0</v>
      </c>
      <c r="C197" s="36"/>
      <c r="D197" s="36"/>
      <c r="E197" s="36"/>
      <c r="F197" s="48"/>
    </row>
    <row r="198" spans="1:6" ht="12.75">
      <c r="A198" s="79" t="s">
        <v>26</v>
      </c>
      <c r="B198" s="35">
        <v>0.008</v>
      </c>
      <c r="C198" s="36"/>
      <c r="D198" s="36"/>
      <c r="E198" s="36">
        <v>0.008</v>
      </c>
      <c r="F198" s="48"/>
    </row>
    <row r="199" spans="1:6" ht="13.5">
      <c r="A199" s="83" t="s">
        <v>0</v>
      </c>
      <c r="B199" s="51">
        <v>0.203222</v>
      </c>
      <c r="C199" s="248"/>
      <c r="D199" s="249"/>
      <c r="E199" s="26">
        <v>0.20319700000000002</v>
      </c>
      <c r="F199" s="250">
        <v>2.5E-05</v>
      </c>
    </row>
    <row r="200" spans="1:6" ht="13.5">
      <c r="A200" s="82" t="s">
        <v>12</v>
      </c>
      <c r="B200" s="23">
        <v>0.14554</v>
      </c>
      <c r="C200" s="24">
        <v>0</v>
      </c>
      <c r="D200" s="26">
        <v>0</v>
      </c>
      <c r="E200" s="39">
        <v>0.14554</v>
      </c>
      <c r="F200" s="27">
        <v>0</v>
      </c>
    </row>
    <row r="201" spans="1:6" ht="12.75">
      <c r="A201" s="79" t="s">
        <v>13</v>
      </c>
      <c r="B201" s="35">
        <v>0.14554</v>
      </c>
      <c r="C201" s="36"/>
      <c r="D201" s="40"/>
      <c r="E201" s="40">
        <v>0.14554</v>
      </c>
      <c r="F201" s="47"/>
    </row>
    <row r="202" spans="1:6" ht="13.5" thickBot="1">
      <c r="A202" s="80" t="s">
        <v>14</v>
      </c>
      <c r="B202" s="41">
        <v>0.265</v>
      </c>
      <c r="C202" s="251"/>
      <c r="D202" s="252"/>
      <c r="E202" s="43">
        <v>0.265</v>
      </c>
      <c r="F202" s="253"/>
    </row>
  </sheetData>
  <sheetProtection/>
  <mergeCells count="3">
    <mergeCell ref="B4:F4"/>
    <mergeCell ref="A5:A6"/>
    <mergeCell ref="B5:F5"/>
  </mergeCells>
  <conditionalFormatting sqref="C134">
    <cfRule type="containsText" priority="1" dxfId="273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2"/>
  <sheetViews>
    <sheetView zoomScale="86" zoomScaleNormal="86" zoomScalePageLayoutView="0" workbookViewId="0" topLeftCell="A1">
      <selection activeCell="E38" sqref="E38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1.8515625" style="178" customWidth="1"/>
    <col min="8" max="8" width="13.00390625" style="178" customWidth="1"/>
    <col min="9" max="9" width="17.28125" style="178" customWidth="1"/>
    <col min="10" max="11" width="12.00390625" style="178" bestFit="1" customWidth="1"/>
    <col min="12" max="17" width="9.140625" style="178" customWidth="1"/>
    <col min="18" max="16384" width="9.140625" style="1" customWidth="1"/>
  </cols>
  <sheetData>
    <row r="1" spans="1:17" s="12" customFormat="1" ht="15.75">
      <c r="A1" s="9" t="s">
        <v>40</v>
      </c>
      <c r="B1" s="13"/>
      <c r="C1" s="14"/>
      <c r="D1" s="14"/>
      <c r="E1" s="14"/>
      <c r="F1" s="14"/>
      <c r="G1" s="176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s="3" customFormat="1" ht="15.75" customHeight="1">
      <c r="A2" s="16" t="s">
        <v>37</v>
      </c>
      <c r="B2" s="11"/>
      <c r="C2" s="11"/>
      <c r="D2" s="11"/>
      <c r="E2" s="11"/>
      <c r="F2" s="11"/>
      <c r="G2" s="176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s="3" customFormat="1" ht="15.75" customHeight="1" thickBot="1">
      <c r="A3" s="6"/>
      <c r="B3" s="10"/>
      <c r="C3" s="10"/>
      <c r="D3" s="10"/>
      <c r="E3" s="10"/>
      <c r="F3" s="10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s="2" customFormat="1" ht="15.75" customHeight="1" thickBot="1">
      <c r="A4" s="7"/>
      <c r="B4" s="256" t="s">
        <v>41</v>
      </c>
      <c r="C4" s="257"/>
      <c r="D4" s="257"/>
      <c r="E4" s="257"/>
      <c r="F4" s="258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6" ht="13.5" thickBot="1">
      <c r="A7" s="54" t="s">
        <v>31</v>
      </c>
      <c r="B7" s="44">
        <f aca="true" t="shared" si="0" ref="B7:F19">B31+B47+B60+B73+B86+B99+B112+B125+B138+B151+B164+B177+B190</f>
        <v>119.73488100000003</v>
      </c>
      <c r="C7" s="45">
        <f t="shared" si="0"/>
        <v>40.152394</v>
      </c>
      <c r="D7" s="45">
        <f t="shared" si="0"/>
        <v>1.051721</v>
      </c>
      <c r="E7" s="46">
        <f t="shared" si="0"/>
        <v>30.798709000000002</v>
      </c>
      <c r="F7" s="46">
        <f>F8+F16+F20+F17</f>
        <v>47.732057</v>
      </c>
    </row>
    <row r="8" spans="1:12" ht="13.5">
      <c r="A8" s="55" t="s">
        <v>10</v>
      </c>
      <c r="B8" s="17">
        <f>SUM(C8:F8)</f>
        <v>36.380926</v>
      </c>
      <c r="C8" s="18">
        <f>C9+C10+C11+C12+C13+C14+C15</f>
        <v>0.122446</v>
      </c>
      <c r="D8" s="18">
        <f>D9+D10+D11+D12+D13+D14+D15</f>
        <v>0.0014</v>
      </c>
      <c r="E8" s="18">
        <f>E9+E10+E11+E12+E13+E14+E15</f>
        <v>2.416516</v>
      </c>
      <c r="F8" s="19">
        <f>F9+F10+F11+F12+F13+F14+F15</f>
        <v>33.840564</v>
      </c>
      <c r="I8" s="186"/>
      <c r="J8" s="186"/>
      <c r="K8" s="186"/>
      <c r="L8" s="186"/>
    </row>
    <row r="9" spans="1:12" ht="12.75">
      <c r="A9" s="56" t="s">
        <v>4</v>
      </c>
      <c r="B9" s="20">
        <f>SUM(C9:F9)</f>
        <v>13.200524000000001</v>
      </c>
      <c r="C9" s="21">
        <f>C33+C49+C62+C75+C88+C101+C114+C127+C140+C153+C166+C179+C192</f>
        <v>0.011078000000000001</v>
      </c>
      <c r="D9" s="21">
        <f t="shared" si="0"/>
        <v>0</v>
      </c>
      <c r="E9" s="21">
        <f t="shared" si="0"/>
        <v>1.1333280000000001</v>
      </c>
      <c r="F9" s="22">
        <f t="shared" si="0"/>
        <v>12.056118000000001</v>
      </c>
      <c r="I9" s="186"/>
      <c r="J9" s="186"/>
      <c r="K9" s="186"/>
      <c r="L9" s="186"/>
    </row>
    <row r="10" spans="1:12" ht="12.75">
      <c r="A10" s="56" t="s">
        <v>11</v>
      </c>
      <c r="B10" s="20">
        <f>SUM(C10:F10)</f>
        <v>1.011994</v>
      </c>
      <c r="C10" s="21">
        <f t="shared" si="0"/>
        <v>0</v>
      </c>
      <c r="D10" s="21">
        <f t="shared" si="0"/>
        <v>0</v>
      </c>
      <c r="E10" s="21">
        <f t="shared" si="0"/>
        <v>0.47946</v>
      </c>
      <c r="F10" s="22">
        <f t="shared" si="0"/>
        <v>0.5325340000000001</v>
      </c>
      <c r="I10" s="186"/>
      <c r="J10" s="186"/>
      <c r="K10" s="186"/>
      <c r="L10" s="186"/>
    </row>
    <row r="11" spans="1:12" ht="12.75">
      <c r="A11" s="56" t="s">
        <v>5</v>
      </c>
      <c r="B11" s="20">
        <f>SUM(C11:F11)</f>
        <v>21.576372</v>
      </c>
      <c r="C11" s="21">
        <f t="shared" si="0"/>
        <v>0.02141</v>
      </c>
      <c r="D11" s="21">
        <f t="shared" si="0"/>
        <v>0.0014</v>
      </c>
      <c r="E11" s="21">
        <f t="shared" si="0"/>
        <v>0.4284549999999999</v>
      </c>
      <c r="F11" s="22">
        <f t="shared" si="0"/>
        <v>21.125107</v>
      </c>
      <c r="I11" s="186"/>
      <c r="J11" s="186"/>
      <c r="K11" s="186"/>
      <c r="L11" s="186"/>
    </row>
    <row r="12" spans="1:12" ht="12.75">
      <c r="A12" s="56" t="s">
        <v>23</v>
      </c>
      <c r="B12" s="20">
        <f aca="true" t="shared" si="1" ref="B12:B22">SUM(C12:F12)</f>
        <v>0.002701</v>
      </c>
      <c r="C12" s="21">
        <f t="shared" si="0"/>
        <v>0</v>
      </c>
      <c r="D12" s="21">
        <f t="shared" si="0"/>
        <v>0</v>
      </c>
      <c r="E12" s="21">
        <f t="shared" si="0"/>
        <v>0.002701</v>
      </c>
      <c r="F12" s="22">
        <f t="shared" si="0"/>
        <v>0</v>
      </c>
      <c r="I12" s="186"/>
      <c r="J12" s="186"/>
      <c r="K12" s="186"/>
      <c r="L12" s="186"/>
    </row>
    <row r="13" spans="1:12" ht="12.75">
      <c r="A13" s="56" t="s">
        <v>24</v>
      </c>
      <c r="B13" s="20">
        <f t="shared" si="1"/>
        <v>0.338723</v>
      </c>
      <c r="C13" s="21">
        <f t="shared" si="0"/>
        <v>0</v>
      </c>
      <c r="D13" s="21">
        <f t="shared" si="0"/>
        <v>0</v>
      </c>
      <c r="E13" s="21">
        <f t="shared" si="0"/>
        <v>0.228157</v>
      </c>
      <c r="F13" s="22">
        <f t="shared" si="0"/>
        <v>0.11056600000000001</v>
      </c>
      <c r="I13" s="186"/>
      <c r="J13" s="186"/>
      <c r="K13" s="186"/>
      <c r="L13" s="186"/>
    </row>
    <row r="14" spans="1:12" ht="12.75">
      <c r="A14" s="56" t="s">
        <v>25</v>
      </c>
      <c r="B14" s="20">
        <f t="shared" si="1"/>
        <v>0.22192699999999999</v>
      </c>
      <c r="C14" s="21">
        <f t="shared" si="0"/>
        <v>0.080204</v>
      </c>
      <c r="D14" s="21">
        <f t="shared" si="0"/>
        <v>0</v>
      </c>
      <c r="E14" s="21">
        <f t="shared" si="0"/>
        <v>0.134202</v>
      </c>
      <c r="F14" s="22">
        <f t="shared" si="0"/>
        <v>0.007521</v>
      </c>
      <c r="I14" s="186"/>
      <c r="J14" s="186"/>
      <c r="K14" s="186"/>
      <c r="L14" s="186"/>
    </row>
    <row r="15" spans="1:12" ht="12.75">
      <c r="A15" s="56" t="s">
        <v>26</v>
      </c>
      <c r="B15" s="20">
        <f t="shared" si="1"/>
        <v>0.028685</v>
      </c>
      <c r="C15" s="21">
        <f t="shared" si="0"/>
        <v>0.009753999999999999</v>
      </c>
      <c r="D15" s="21">
        <f t="shared" si="0"/>
        <v>0</v>
      </c>
      <c r="E15" s="21">
        <f t="shared" si="0"/>
        <v>0.010213</v>
      </c>
      <c r="F15" s="22">
        <f t="shared" si="0"/>
        <v>0.008718</v>
      </c>
      <c r="I15" s="186"/>
      <c r="J15" s="186"/>
      <c r="K15" s="186"/>
      <c r="L15" s="186"/>
    </row>
    <row r="16" spans="1:12" ht="13.5">
      <c r="A16" s="55" t="s">
        <v>0</v>
      </c>
      <c r="B16" s="23">
        <f t="shared" si="1"/>
        <v>52.970591000000006</v>
      </c>
      <c r="C16" s="202">
        <f t="shared" si="0"/>
        <v>19.771126999999996</v>
      </c>
      <c r="D16" s="202">
        <f t="shared" si="0"/>
        <v>0.97998</v>
      </c>
      <c r="E16" s="202">
        <f t="shared" si="0"/>
        <v>19.733277000000005</v>
      </c>
      <c r="F16" s="203">
        <f t="shared" si="0"/>
        <v>12.486207</v>
      </c>
      <c r="I16" s="186"/>
      <c r="J16" s="186"/>
      <c r="K16" s="186"/>
      <c r="L16" s="186"/>
    </row>
    <row r="17" spans="1:12" ht="13.5">
      <c r="A17" s="55" t="s">
        <v>12</v>
      </c>
      <c r="B17" s="23">
        <f t="shared" si="1"/>
        <v>29.313271</v>
      </c>
      <c r="C17" s="24">
        <f t="shared" si="0"/>
        <v>19.188728</v>
      </c>
      <c r="D17" s="24">
        <f t="shared" si="0"/>
        <v>0.070341</v>
      </c>
      <c r="E17" s="24">
        <f t="shared" si="0"/>
        <v>8.648916</v>
      </c>
      <c r="F17" s="25">
        <f t="shared" si="0"/>
        <v>1.4052859999999998</v>
      </c>
      <c r="I17" s="186"/>
      <c r="J17" s="186"/>
      <c r="K17" s="186"/>
      <c r="L17" s="186"/>
    </row>
    <row r="18" spans="1:12" ht="13.5">
      <c r="A18" s="56" t="s">
        <v>13</v>
      </c>
      <c r="B18" s="204">
        <f t="shared" si="1"/>
        <v>29.313271</v>
      </c>
      <c r="C18" s="24">
        <f t="shared" si="0"/>
        <v>19.188728</v>
      </c>
      <c r="D18" s="24">
        <f t="shared" si="0"/>
        <v>0.070341</v>
      </c>
      <c r="E18" s="24">
        <f t="shared" si="0"/>
        <v>8.648916</v>
      </c>
      <c r="F18" s="25">
        <f t="shared" si="0"/>
        <v>1.4052859999999998</v>
      </c>
      <c r="I18" s="186"/>
      <c r="J18" s="186"/>
      <c r="K18" s="186"/>
      <c r="L18" s="186"/>
    </row>
    <row r="19" spans="1:12" ht="12.75">
      <c r="A19" s="57" t="s">
        <v>14</v>
      </c>
      <c r="B19" s="58">
        <f>SUM(C19:F19)</f>
        <v>42.348</v>
      </c>
      <c r="C19" s="21">
        <f t="shared" si="0"/>
        <v>26.034000000000002</v>
      </c>
      <c r="D19" s="21">
        <f t="shared" si="0"/>
        <v>0.122</v>
      </c>
      <c r="E19" s="21">
        <f t="shared" si="0"/>
        <v>14.078</v>
      </c>
      <c r="F19" s="22">
        <f t="shared" si="0"/>
        <v>2.114</v>
      </c>
      <c r="I19" s="186"/>
      <c r="J19" s="186"/>
      <c r="K19" s="186"/>
      <c r="L19" s="186"/>
    </row>
    <row r="20" spans="1:12" ht="13.5">
      <c r="A20" s="55" t="s">
        <v>15</v>
      </c>
      <c r="B20" s="23">
        <f t="shared" si="1"/>
        <v>1.070093</v>
      </c>
      <c r="C20" s="24">
        <f>C21</f>
        <v>1.070093</v>
      </c>
      <c r="D20" s="26"/>
      <c r="E20" s="26"/>
      <c r="F20" s="27"/>
      <c r="I20" s="186"/>
      <c r="J20" s="186"/>
      <c r="K20" s="186"/>
      <c r="L20" s="186"/>
    </row>
    <row r="21" spans="1:12" ht="12.75">
      <c r="A21" s="56" t="s">
        <v>13</v>
      </c>
      <c r="B21" s="20">
        <f t="shared" si="1"/>
        <v>1.070093</v>
      </c>
      <c r="C21" s="21">
        <f>C45</f>
        <v>1.070093</v>
      </c>
      <c r="D21" s="28"/>
      <c r="E21" s="28"/>
      <c r="F21" s="29"/>
      <c r="I21" s="186"/>
      <c r="J21" s="186"/>
      <c r="K21" s="186"/>
      <c r="L21" s="186"/>
    </row>
    <row r="22" spans="1:12" ht="12.75">
      <c r="A22" s="60" t="s">
        <v>16</v>
      </c>
      <c r="B22" s="58">
        <f t="shared" si="1"/>
        <v>2.357</v>
      </c>
      <c r="C22" s="59">
        <f>C46</f>
        <v>2.357</v>
      </c>
      <c r="D22" s="30"/>
      <c r="E22" s="30"/>
      <c r="F22" s="31"/>
      <c r="I22" s="186"/>
      <c r="J22" s="186"/>
      <c r="K22" s="186"/>
      <c r="L22" s="186"/>
    </row>
    <row r="23" spans="1:13" ht="13.5">
      <c r="A23" s="55" t="s">
        <v>32</v>
      </c>
      <c r="B23" s="23">
        <f>SUM(C23:F23)</f>
        <v>2.842502</v>
      </c>
      <c r="C23" s="24">
        <f>C24</f>
        <v>2.842502</v>
      </c>
      <c r="D23" s="26">
        <f>D24</f>
        <v>0</v>
      </c>
      <c r="E23" s="26">
        <f>E24</f>
        <v>0</v>
      </c>
      <c r="F23" s="27">
        <f>F24</f>
        <v>0</v>
      </c>
      <c r="H23" s="181"/>
      <c r="I23" s="187"/>
      <c r="J23" s="187"/>
      <c r="K23" s="187"/>
      <c r="L23" s="187"/>
      <c r="M23" s="181"/>
    </row>
    <row r="24" spans="1:13" ht="12.75">
      <c r="A24" s="56" t="s">
        <v>13</v>
      </c>
      <c r="B24" s="20">
        <f>SUM(C24:F24)</f>
        <v>2.842502</v>
      </c>
      <c r="C24" s="21">
        <f>C58</f>
        <v>2.842502</v>
      </c>
      <c r="D24" s="28"/>
      <c r="E24" s="28"/>
      <c r="F24" s="29"/>
      <c r="H24" s="181"/>
      <c r="I24" s="187"/>
      <c r="J24" s="187"/>
      <c r="K24" s="187"/>
      <c r="L24" s="187"/>
      <c r="M24" s="181"/>
    </row>
    <row r="25" spans="1:13" ht="13.5" thickBot="1">
      <c r="A25" s="61" t="s">
        <v>14</v>
      </c>
      <c r="B25" s="32">
        <f>SUM(C25:F25)</f>
        <v>7.043</v>
      </c>
      <c r="C25" s="62">
        <f>C59</f>
        <v>7.043</v>
      </c>
      <c r="D25" s="33"/>
      <c r="E25" s="33"/>
      <c r="F25" s="34"/>
      <c r="H25" s="181"/>
      <c r="I25" s="187"/>
      <c r="J25" s="187"/>
      <c r="K25" s="187"/>
      <c r="L25" s="187"/>
      <c r="M25" s="181"/>
    </row>
    <row r="26" spans="1:13" ht="13.5" hidden="1" thickBot="1">
      <c r="A26" s="88"/>
      <c r="B26" s="89"/>
      <c r="C26" s="90"/>
      <c r="D26" s="91"/>
      <c r="E26" s="91"/>
      <c r="F26" s="92"/>
      <c r="H26" s="181"/>
      <c r="I26" s="187"/>
      <c r="J26" s="187"/>
      <c r="K26" s="187"/>
      <c r="L26" s="187"/>
      <c r="M26" s="181"/>
    </row>
    <row r="27" spans="1:13" ht="12.75" hidden="1">
      <c r="A27" s="93"/>
      <c r="B27" s="94"/>
      <c r="C27" s="95"/>
      <c r="D27" s="96"/>
      <c r="E27" s="96"/>
      <c r="F27" s="97"/>
      <c r="H27" s="181"/>
      <c r="I27" s="187"/>
      <c r="J27" s="187"/>
      <c r="K27" s="187"/>
      <c r="L27" s="187"/>
      <c r="M27" s="181"/>
    </row>
    <row r="28" spans="1:13" ht="13.5" hidden="1">
      <c r="A28" s="98"/>
      <c r="B28" s="99"/>
      <c r="C28" s="100"/>
      <c r="D28" s="101"/>
      <c r="E28" s="101"/>
      <c r="F28" s="102"/>
      <c r="H28" s="181"/>
      <c r="I28" s="187"/>
      <c r="J28" s="187"/>
      <c r="K28" s="187"/>
      <c r="L28" s="187"/>
      <c r="M28" s="181"/>
    </row>
    <row r="29" spans="1:13" ht="15" hidden="1">
      <c r="A29" s="103"/>
      <c r="B29" s="104"/>
      <c r="C29" s="105"/>
      <c r="D29" s="106"/>
      <c r="E29" s="107"/>
      <c r="F29" s="108"/>
      <c r="H29" s="181"/>
      <c r="I29" s="187"/>
      <c r="J29" s="187"/>
      <c r="K29" s="187"/>
      <c r="L29" s="187"/>
      <c r="M29" s="181"/>
    </row>
    <row r="30" spans="1:13" ht="13.5" hidden="1" thickBot="1">
      <c r="A30" s="109"/>
      <c r="B30" s="110"/>
      <c r="C30" s="111"/>
      <c r="D30" s="112"/>
      <c r="E30" s="112"/>
      <c r="F30" s="113"/>
      <c r="H30" s="181"/>
      <c r="I30" s="187"/>
      <c r="J30" s="187"/>
      <c r="K30" s="187"/>
      <c r="L30" s="187"/>
      <c r="M30" s="181"/>
    </row>
    <row r="31" spans="1:13" ht="15" customHeight="1" thickBot="1">
      <c r="A31" s="63" t="s">
        <v>39</v>
      </c>
      <c r="B31" s="114">
        <f aca="true" t="shared" si="2" ref="B31:B41">SUM(C31:F31)</f>
        <v>74.478381</v>
      </c>
      <c r="C31" s="115">
        <f>C32+C40+C44+C41</f>
        <v>22.311671</v>
      </c>
      <c r="D31" s="115">
        <f>D32+D40+D44+D41</f>
        <v>1.020513</v>
      </c>
      <c r="E31" s="115">
        <f>E32+E40+E44+E41</f>
        <v>19.301074</v>
      </c>
      <c r="F31" s="116">
        <f>F32+F40+F44+F41</f>
        <v>31.845123</v>
      </c>
      <c r="H31" s="181"/>
      <c r="I31" s="187"/>
      <c r="J31" s="187"/>
      <c r="K31" s="187"/>
      <c r="L31" s="187"/>
      <c r="M31" s="181"/>
    </row>
    <row r="32" spans="1:13" ht="13.5">
      <c r="A32" s="55" t="s">
        <v>10</v>
      </c>
      <c r="B32" s="117">
        <f t="shared" si="2"/>
        <v>22.92606</v>
      </c>
      <c r="C32" s="118">
        <f>C33+C34+C35+C36+C37+C38+C39</f>
        <v>0.040917</v>
      </c>
      <c r="D32" s="119">
        <f>D33+D34+D35+D36+D37+D38+D39</f>
        <v>0.0014</v>
      </c>
      <c r="E32" s="119">
        <f>E33+E34+E35+E36+E37+E38+E39</f>
        <v>0.8136349999999999</v>
      </c>
      <c r="F32" s="120">
        <f>F33+F34+F35+F36+F37+F38+F39</f>
        <v>22.070108</v>
      </c>
      <c r="H32" s="182"/>
      <c r="I32" s="182"/>
      <c r="J32" s="182"/>
      <c r="K32" s="181"/>
      <c r="L32" s="185"/>
      <c r="M32" s="181"/>
    </row>
    <row r="33" spans="1:13" ht="12.75">
      <c r="A33" s="56" t="s">
        <v>4</v>
      </c>
      <c r="B33" s="121">
        <f t="shared" si="2"/>
        <v>5.937320000000001</v>
      </c>
      <c r="C33" s="122">
        <v>0.010743</v>
      </c>
      <c r="D33" s="122"/>
      <c r="E33" s="122">
        <v>0.207297</v>
      </c>
      <c r="F33" s="123">
        <v>5.71928</v>
      </c>
      <c r="H33" s="182"/>
      <c r="I33" s="182"/>
      <c r="J33" s="182"/>
      <c r="K33" s="181"/>
      <c r="L33" s="183"/>
      <c r="M33" s="181"/>
    </row>
    <row r="34" spans="1:13" ht="12.75">
      <c r="A34" s="56" t="s">
        <v>11</v>
      </c>
      <c r="B34" s="121">
        <f t="shared" si="2"/>
        <v>0.078318</v>
      </c>
      <c r="C34" s="122"/>
      <c r="D34" s="122"/>
      <c r="E34" s="122">
        <v>0.01548</v>
      </c>
      <c r="F34" s="123">
        <v>0.062838</v>
      </c>
      <c r="H34" s="182"/>
      <c r="I34" s="182"/>
      <c r="J34" s="182"/>
      <c r="K34" s="181"/>
      <c r="L34" s="183"/>
      <c r="M34" s="181"/>
    </row>
    <row r="35" spans="1:13" ht="12.75">
      <c r="A35" s="56" t="s">
        <v>5</v>
      </c>
      <c r="B35" s="121">
        <f t="shared" si="2"/>
        <v>16.584493</v>
      </c>
      <c r="C35" s="122">
        <v>0.02141</v>
      </c>
      <c r="D35" s="122">
        <v>0.0014</v>
      </c>
      <c r="E35" s="122">
        <v>0.370482</v>
      </c>
      <c r="F35" s="123">
        <v>16.191201</v>
      </c>
      <c r="H35" s="182"/>
      <c r="I35" s="182"/>
      <c r="J35" s="182"/>
      <c r="K35" s="181"/>
      <c r="L35" s="183"/>
      <c r="M35" s="181"/>
    </row>
    <row r="36" spans="1:13" ht="12.75">
      <c r="A36" s="56" t="s">
        <v>23</v>
      </c>
      <c r="B36" s="121">
        <f t="shared" si="2"/>
        <v>0.002701</v>
      </c>
      <c r="C36" s="122"/>
      <c r="D36" s="122"/>
      <c r="E36" s="122">
        <v>0.002701</v>
      </c>
      <c r="F36" s="123"/>
      <c r="H36" s="182"/>
      <c r="I36" s="182"/>
      <c r="J36" s="182"/>
      <c r="K36" s="181"/>
      <c r="L36" s="183"/>
      <c r="M36" s="181"/>
    </row>
    <row r="37" spans="1:13" ht="12.75">
      <c r="A37" s="56" t="s">
        <v>24</v>
      </c>
      <c r="B37" s="121">
        <f t="shared" si="2"/>
        <v>0.29967299999999997</v>
      </c>
      <c r="C37" s="122"/>
      <c r="D37" s="122"/>
      <c r="E37" s="122">
        <v>0.210665</v>
      </c>
      <c r="F37" s="123">
        <v>0.089008</v>
      </c>
      <c r="H37" s="182"/>
      <c r="I37" s="182"/>
      <c r="J37" s="182"/>
      <c r="K37" s="181"/>
      <c r="L37" s="185"/>
      <c r="M37" s="181"/>
    </row>
    <row r="38" spans="1:13" ht="12.75">
      <c r="A38" s="56" t="s">
        <v>25</v>
      </c>
      <c r="B38" s="121">
        <f t="shared" si="2"/>
        <v>0.007521</v>
      </c>
      <c r="C38" s="122"/>
      <c r="D38" s="122"/>
      <c r="E38" s="122"/>
      <c r="F38" s="123">
        <v>0.007521</v>
      </c>
      <c r="H38" s="182"/>
      <c r="I38" s="182"/>
      <c r="J38" s="182"/>
      <c r="K38" s="181"/>
      <c r="L38" s="183"/>
      <c r="M38" s="181"/>
    </row>
    <row r="39" spans="1:13" ht="12.75">
      <c r="A39" s="56" t="s">
        <v>26</v>
      </c>
      <c r="B39" s="121">
        <f t="shared" si="2"/>
        <v>0.016034</v>
      </c>
      <c r="C39" s="122">
        <v>0.008764</v>
      </c>
      <c r="D39" s="122"/>
      <c r="E39" s="122">
        <v>0.00701</v>
      </c>
      <c r="F39" s="123">
        <v>0.00026</v>
      </c>
      <c r="H39" s="182"/>
      <c r="I39" s="182"/>
      <c r="J39" s="182"/>
      <c r="K39" s="181"/>
      <c r="L39" s="183"/>
      <c r="M39" s="181"/>
    </row>
    <row r="40" spans="1:13" ht="13.5">
      <c r="A40" s="55" t="s">
        <v>0</v>
      </c>
      <c r="B40" s="124">
        <f t="shared" si="2"/>
        <v>30.944504000000002</v>
      </c>
      <c r="C40" s="127">
        <f>8.796459+1.254943+0.000358</f>
        <v>10.05176</v>
      </c>
      <c r="D40" s="125">
        <f>0.803578+0.145194</f>
        <v>0.948772</v>
      </c>
      <c r="E40" s="153">
        <f>9.893977+1.124369+0.02453+0.085399</f>
        <v>11.128275</v>
      </c>
      <c r="F40" s="126">
        <f>8.280571+0.500378+0.011652+0.002838+0.020258</f>
        <v>8.815697</v>
      </c>
      <c r="H40" s="182"/>
      <c r="I40" s="182"/>
      <c r="J40" s="182"/>
      <c r="K40" s="181"/>
      <c r="L40" s="183"/>
      <c r="M40" s="181"/>
    </row>
    <row r="41" spans="1:13" ht="13.5">
      <c r="A41" s="55" t="s">
        <v>12</v>
      </c>
      <c r="B41" s="124">
        <f t="shared" si="2"/>
        <v>19.537724</v>
      </c>
      <c r="C41" s="127">
        <f>C42</f>
        <v>11.148901</v>
      </c>
      <c r="D41" s="127">
        <f>D42</f>
        <v>0.070341</v>
      </c>
      <c r="E41" s="127">
        <f>E42</f>
        <v>7.359164</v>
      </c>
      <c r="F41" s="128">
        <f>F42</f>
        <v>0.959318</v>
      </c>
      <c r="H41" s="182"/>
      <c r="I41" s="182"/>
      <c r="J41" s="182"/>
      <c r="K41" s="181"/>
      <c r="L41" s="183"/>
      <c r="M41" s="181"/>
    </row>
    <row r="42" spans="1:13" ht="12.75">
      <c r="A42" s="56" t="s">
        <v>13</v>
      </c>
      <c r="B42" s="121">
        <f aca="true" t="shared" si="3" ref="B42:B51">SUM(C42:F42)</f>
        <v>19.537724</v>
      </c>
      <c r="C42" s="122">
        <f>10.412+0.736901</f>
        <v>11.148901</v>
      </c>
      <c r="D42" s="130">
        <v>0.070341</v>
      </c>
      <c r="E42" s="130">
        <f>6.684335+0.674829</f>
        <v>7.359164</v>
      </c>
      <c r="F42" s="131">
        <f>0.959318</f>
        <v>0.959318</v>
      </c>
      <c r="H42" s="182"/>
      <c r="I42" s="182"/>
      <c r="J42" s="182"/>
      <c r="K42" s="181"/>
      <c r="L42" s="181"/>
      <c r="M42" s="181"/>
    </row>
    <row r="43" spans="1:13" ht="12.75">
      <c r="A43" s="57" t="s">
        <v>14</v>
      </c>
      <c r="B43" s="132">
        <f t="shared" si="3"/>
        <v>26.135</v>
      </c>
      <c r="C43" s="129">
        <v>12.919</v>
      </c>
      <c r="D43" s="133">
        <v>0.122</v>
      </c>
      <c r="E43" s="133">
        <v>11.815</v>
      </c>
      <c r="F43" s="134">
        <v>1.279</v>
      </c>
      <c r="H43" s="182"/>
      <c r="I43" s="182"/>
      <c r="J43" s="182"/>
      <c r="K43" s="181"/>
      <c r="L43" s="181"/>
      <c r="M43" s="181"/>
    </row>
    <row r="44" spans="1:13" ht="13.5">
      <c r="A44" s="55" t="s">
        <v>15</v>
      </c>
      <c r="B44" s="124">
        <f t="shared" si="3"/>
        <v>1.070093</v>
      </c>
      <c r="C44" s="127">
        <f>C45</f>
        <v>1.070093</v>
      </c>
      <c r="D44" s="125"/>
      <c r="E44" s="125"/>
      <c r="F44" s="135"/>
      <c r="H44" s="182"/>
      <c r="I44" s="182"/>
      <c r="J44" s="182"/>
      <c r="K44" s="181"/>
      <c r="L44" s="181"/>
      <c r="M44" s="181"/>
    </row>
    <row r="45" spans="1:13" ht="12.75">
      <c r="A45" s="56" t="s">
        <v>13</v>
      </c>
      <c r="B45" s="121">
        <f t="shared" si="3"/>
        <v>1.070093</v>
      </c>
      <c r="C45" s="122">
        <v>1.070093</v>
      </c>
      <c r="D45" s="130"/>
      <c r="E45" s="130"/>
      <c r="F45" s="136"/>
      <c r="H45" s="182"/>
      <c r="I45" s="182"/>
      <c r="J45" s="182"/>
      <c r="K45" s="181"/>
      <c r="L45" s="181"/>
      <c r="M45" s="181"/>
    </row>
    <row r="46" spans="1:13" ht="13.5" thickBot="1">
      <c r="A46" s="60" t="s">
        <v>14</v>
      </c>
      <c r="B46" s="137">
        <f t="shared" si="3"/>
        <v>2.357</v>
      </c>
      <c r="C46" s="138">
        <v>2.357</v>
      </c>
      <c r="D46" s="139"/>
      <c r="E46" s="139"/>
      <c r="F46" s="140"/>
      <c r="H46" s="181"/>
      <c r="I46" s="182"/>
      <c r="J46" s="184"/>
      <c r="K46" s="181"/>
      <c r="L46" s="181"/>
      <c r="M46" s="181"/>
    </row>
    <row r="47" spans="1:13" ht="13.5" thickBot="1">
      <c r="A47" s="72" t="s">
        <v>42</v>
      </c>
      <c r="B47" s="141">
        <f t="shared" si="3"/>
        <v>2.842502</v>
      </c>
      <c r="C47" s="142">
        <f>C48+C56+C57</f>
        <v>2.842502</v>
      </c>
      <c r="D47" s="142">
        <f>D48+D56+D57</f>
        <v>0</v>
      </c>
      <c r="E47" s="142">
        <f>E48+E56+E57</f>
        <v>0</v>
      </c>
      <c r="F47" s="143">
        <f>F48+F56+F57</f>
        <v>0</v>
      </c>
      <c r="H47" s="181"/>
      <c r="I47" s="182"/>
      <c r="J47" s="182"/>
      <c r="K47" s="181"/>
      <c r="L47" s="181"/>
      <c r="M47" s="181"/>
    </row>
    <row r="48" spans="1:13" ht="13.5">
      <c r="A48" s="55" t="s">
        <v>10</v>
      </c>
      <c r="B48" s="144">
        <f t="shared" si="3"/>
        <v>0</v>
      </c>
      <c r="C48" s="145">
        <f>C49+C50+C51+C52+C53+C54+C55</f>
        <v>0</v>
      </c>
      <c r="D48" s="146">
        <f>D49+D50+D51+D52+D53+D54+D55</f>
        <v>0</v>
      </c>
      <c r="E48" s="146">
        <f>E49+E50+E51+E52+E53+E54+E55</f>
        <v>0</v>
      </c>
      <c r="F48" s="147">
        <f>F49+F50+F51+F52+F53+F54+F55</f>
        <v>0</v>
      </c>
      <c r="H48" s="181"/>
      <c r="I48" s="182"/>
      <c r="J48" s="182"/>
      <c r="K48" s="181"/>
      <c r="L48" s="181"/>
      <c r="M48" s="181"/>
    </row>
    <row r="49" spans="1:13" ht="12.75">
      <c r="A49" s="56" t="s">
        <v>4</v>
      </c>
      <c r="B49" s="148">
        <f t="shared" si="3"/>
        <v>0</v>
      </c>
      <c r="C49" s="149"/>
      <c r="D49" s="150"/>
      <c r="E49" s="150"/>
      <c r="F49" s="151"/>
      <c r="H49" s="181"/>
      <c r="I49" s="182"/>
      <c r="J49" s="182"/>
      <c r="K49" s="181"/>
      <c r="L49" s="181"/>
      <c r="M49" s="181"/>
    </row>
    <row r="50" spans="1:13" ht="12.75">
      <c r="A50" s="56" t="s">
        <v>17</v>
      </c>
      <c r="B50" s="148">
        <f t="shared" si="3"/>
        <v>0</v>
      </c>
      <c r="C50" s="149"/>
      <c r="D50" s="150"/>
      <c r="E50" s="150"/>
      <c r="F50" s="151"/>
      <c r="H50" s="181"/>
      <c r="I50" s="182"/>
      <c r="J50" s="182"/>
      <c r="K50" s="181"/>
      <c r="L50" s="181"/>
      <c r="M50" s="181"/>
    </row>
    <row r="51" spans="1:13" ht="12.75">
      <c r="A51" s="56" t="s">
        <v>5</v>
      </c>
      <c r="B51" s="148">
        <f t="shared" si="3"/>
        <v>0</v>
      </c>
      <c r="C51" s="149"/>
      <c r="D51" s="150"/>
      <c r="E51" s="150"/>
      <c r="F51" s="151"/>
      <c r="H51" s="181"/>
      <c r="I51" s="182"/>
      <c r="J51" s="182"/>
      <c r="K51" s="181"/>
      <c r="L51" s="181"/>
      <c r="M51" s="181"/>
    </row>
    <row r="52" spans="1:13" ht="12.75">
      <c r="A52" s="56" t="s">
        <v>23</v>
      </c>
      <c r="B52" s="148">
        <f aca="true" t="shared" si="4" ref="B52:B59">SUM(C52:F52)</f>
        <v>0</v>
      </c>
      <c r="C52" s="149"/>
      <c r="D52" s="149"/>
      <c r="E52" s="149"/>
      <c r="F52" s="152"/>
      <c r="H52" s="181"/>
      <c r="I52" s="182"/>
      <c r="J52" s="182"/>
      <c r="K52" s="181"/>
      <c r="L52" s="181"/>
      <c r="M52" s="181"/>
    </row>
    <row r="53" spans="1:13" ht="12.75">
      <c r="A53" s="56" t="s">
        <v>24</v>
      </c>
      <c r="B53" s="148">
        <f t="shared" si="4"/>
        <v>0</v>
      </c>
      <c r="C53" s="149"/>
      <c r="D53" s="149"/>
      <c r="E53" s="149"/>
      <c r="F53" s="152"/>
      <c r="H53" s="181"/>
      <c r="I53" s="182"/>
      <c r="J53" s="182"/>
      <c r="K53" s="181"/>
      <c r="L53" s="181"/>
      <c r="M53" s="181"/>
    </row>
    <row r="54" spans="1:13" ht="12.75">
      <c r="A54" s="56" t="s">
        <v>25</v>
      </c>
      <c r="B54" s="148">
        <f t="shared" si="4"/>
        <v>0</v>
      </c>
      <c r="C54" s="149"/>
      <c r="D54" s="149"/>
      <c r="E54" s="149"/>
      <c r="F54" s="152"/>
      <c r="H54" s="181"/>
      <c r="I54" s="182"/>
      <c r="J54" s="182"/>
      <c r="K54" s="181"/>
      <c r="L54" s="181"/>
      <c r="M54" s="181"/>
    </row>
    <row r="55" spans="1:13" ht="12.75">
      <c r="A55" s="56" t="s">
        <v>26</v>
      </c>
      <c r="B55" s="148">
        <f t="shared" si="4"/>
        <v>0</v>
      </c>
      <c r="C55" s="149"/>
      <c r="D55" s="149"/>
      <c r="E55" s="149"/>
      <c r="F55" s="152"/>
      <c r="H55" s="181"/>
      <c r="I55" s="182"/>
      <c r="J55" s="182"/>
      <c r="K55" s="181"/>
      <c r="L55" s="181"/>
      <c r="M55" s="181"/>
    </row>
    <row r="56" spans="1:13" ht="13.5">
      <c r="A56" s="55" t="s">
        <v>0</v>
      </c>
      <c r="B56" s="144">
        <f t="shared" si="4"/>
        <v>0</v>
      </c>
      <c r="C56" s="145"/>
      <c r="D56" s="146"/>
      <c r="E56" s="153"/>
      <c r="F56" s="154"/>
      <c r="H56" s="181"/>
      <c r="I56" s="182"/>
      <c r="J56" s="182"/>
      <c r="K56" s="181"/>
      <c r="L56" s="181"/>
      <c r="M56" s="181"/>
    </row>
    <row r="57" spans="1:13" ht="13.5">
      <c r="A57" s="55" t="s">
        <v>12</v>
      </c>
      <c r="B57" s="144">
        <f t="shared" si="4"/>
        <v>2.842502</v>
      </c>
      <c r="C57" s="145">
        <f>C58</f>
        <v>2.842502</v>
      </c>
      <c r="D57" s="146">
        <f>D58</f>
        <v>0</v>
      </c>
      <c r="E57" s="146">
        <f>E58</f>
        <v>0</v>
      </c>
      <c r="F57" s="147">
        <f>F58</f>
        <v>0</v>
      </c>
      <c r="H57" s="181"/>
      <c r="I57" s="182"/>
      <c r="J57" s="182"/>
      <c r="K57" s="181"/>
      <c r="L57" s="181"/>
      <c r="M57" s="181"/>
    </row>
    <row r="58" spans="1:13" ht="12.75">
      <c r="A58" s="56" t="s">
        <v>13</v>
      </c>
      <c r="B58" s="148">
        <f t="shared" si="4"/>
        <v>2.842502</v>
      </c>
      <c r="C58" s="149">
        <v>2.842502</v>
      </c>
      <c r="D58" s="150"/>
      <c r="E58" s="150"/>
      <c r="F58" s="151"/>
      <c r="H58" s="181"/>
      <c r="I58" s="182"/>
      <c r="J58" s="181"/>
      <c r="K58" s="181"/>
      <c r="L58" s="181"/>
      <c r="M58" s="181"/>
    </row>
    <row r="59" spans="1:13" ht="13.5" thickBot="1">
      <c r="A59" s="73" t="s">
        <v>14</v>
      </c>
      <c r="B59" s="155">
        <f t="shared" si="4"/>
        <v>7.043</v>
      </c>
      <c r="C59" s="156">
        <v>7.043</v>
      </c>
      <c r="D59" s="157"/>
      <c r="E59" s="157"/>
      <c r="F59" s="158"/>
      <c r="H59" s="181"/>
      <c r="I59" s="182"/>
      <c r="J59" s="181"/>
      <c r="K59" s="181"/>
      <c r="L59" s="181"/>
      <c r="M59" s="181"/>
    </row>
    <row r="60" spans="1:13" ht="13.5" thickBot="1">
      <c r="A60" s="72" t="s">
        <v>27</v>
      </c>
      <c r="B60" s="141">
        <f>SUM(C60:F60)</f>
        <v>13.746526999999999</v>
      </c>
      <c r="C60" s="142">
        <f>C61+C69+C70</f>
        <v>7.459581999999999</v>
      </c>
      <c r="D60" s="142">
        <f>D61+D69+D70</f>
        <v>0.031208</v>
      </c>
      <c r="E60" s="142">
        <f>E61+E69+E70</f>
        <v>2.539422</v>
      </c>
      <c r="F60" s="143">
        <f>F61+F69+F70</f>
        <v>3.716315</v>
      </c>
      <c r="H60" s="181"/>
      <c r="I60" s="182"/>
      <c r="J60" s="181"/>
      <c r="K60" s="181"/>
      <c r="L60" s="181"/>
      <c r="M60" s="181"/>
    </row>
    <row r="61" spans="1:13" ht="13.5">
      <c r="A61" s="78" t="s">
        <v>10</v>
      </c>
      <c r="B61" s="159">
        <f aca="true" t="shared" si="5" ref="B61:B77">SUM(C61:F61)</f>
        <v>2.87737</v>
      </c>
      <c r="C61" s="160">
        <f>C62+C63+C64+C65+C66+C67+C68</f>
        <v>0</v>
      </c>
      <c r="D61" s="161">
        <f>D62+D63+D64+D65+D66+D67+D68</f>
        <v>0</v>
      </c>
      <c r="E61" s="161">
        <f>E62+E63+E64+E65+E66+E67+E68</f>
        <v>0.184899</v>
      </c>
      <c r="F61" s="162">
        <f>F62+F63+F64+F65+F66+F67+F68</f>
        <v>2.692471</v>
      </c>
      <c r="H61" s="181"/>
      <c r="I61" s="182"/>
      <c r="J61" s="181"/>
      <c r="K61" s="181"/>
      <c r="L61" s="181"/>
      <c r="M61" s="181"/>
    </row>
    <row r="62" spans="1:13" ht="12.75">
      <c r="A62" s="79" t="s">
        <v>4</v>
      </c>
      <c r="B62" s="148">
        <f t="shared" si="5"/>
        <v>2.6488069999999997</v>
      </c>
      <c r="C62" s="149"/>
      <c r="D62" s="149"/>
      <c r="E62" s="149">
        <v>0.174018</v>
      </c>
      <c r="F62" s="152">
        <v>2.474789</v>
      </c>
      <c r="H62" s="181"/>
      <c r="I62" s="182"/>
      <c r="J62" s="181"/>
      <c r="K62" s="181"/>
      <c r="L62" s="181"/>
      <c r="M62" s="181"/>
    </row>
    <row r="63" spans="1:13" ht="12.75">
      <c r="A63" s="79" t="s">
        <v>17</v>
      </c>
      <c r="B63" s="148">
        <f t="shared" si="5"/>
        <v>0.150948</v>
      </c>
      <c r="C63" s="149"/>
      <c r="D63" s="150"/>
      <c r="E63" s="150"/>
      <c r="F63" s="151">
        <v>0.150948</v>
      </c>
      <c r="H63" s="181"/>
      <c r="I63" s="182"/>
      <c r="J63" s="181"/>
      <c r="K63" s="181"/>
      <c r="L63" s="181"/>
      <c r="M63" s="181"/>
    </row>
    <row r="64" spans="1:13" ht="12.75">
      <c r="A64" s="79" t="s">
        <v>5</v>
      </c>
      <c r="B64" s="148">
        <f t="shared" si="5"/>
        <v>0.077615</v>
      </c>
      <c r="C64" s="149"/>
      <c r="D64" s="150"/>
      <c r="E64" s="150">
        <v>0.010881</v>
      </c>
      <c r="F64" s="151">
        <v>0.066734</v>
      </c>
      <c r="H64" s="181"/>
      <c r="I64" s="182"/>
      <c r="J64" s="181"/>
      <c r="K64" s="181"/>
      <c r="L64" s="181"/>
      <c r="M64" s="181"/>
    </row>
    <row r="65" spans="1:13" ht="12.75">
      <c r="A65" s="79" t="s">
        <v>23</v>
      </c>
      <c r="B65" s="148">
        <f t="shared" si="5"/>
        <v>0</v>
      </c>
      <c r="C65" s="149"/>
      <c r="D65" s="149"/>
      <c r="E65" s="149"/>
      <c r="F65" s="152"/>
      <c r="H65" s="181"/>
      <c r="I65" s="182"/>
      <c r="J65" s="181"/>
      <c r="K65" s="181"/>
      <c r="L65" s="181"/>
      <c r="M65" s="181"/>
    </row>
    <row r="66" spans="1:13" ht="15" customHeight="1">
      <c r="A66" s="79" t="s">
        <v>24</v>
      </c>
      <c r="B66" s="148">
        <f t="shared" si="5"/>
        <v>0</v>
      </c>
      <c r="C66" s="149"/>
      <c r="D66" s="149"/>
      <c r="E66" s="149"/>
      <c r="F66" s="152"/>
      <c r="H66" s="181"/>
      <c r="I66" s="182"/>
      <c r="J66" s="181"/>
      <c r="K66" s="181"/>
      <c r="L66" s="181"/>
      <c r="M66" s="181"/>
    </row>
    <row r="67" spans="1:13" ht="15" customHeight="1">
      <c r="A67" s="79" t="s">
        <v>25</v>
      </c>
      <c r="B67" s="148">
        <f t="shared" si="5"/>
        <v>0</v>
      </c>
      <c r="C67" s="149"/>
      <c r="D67" s="149"/>
      <c r="E67" s="149"/>
      <c r="F67" s="152"/>
      <c r="H67" s="181"/>
      <c r="I67" s="182"/>
      <c r="J67" s="181"/>
      <c r="K67" s="181"/>
      <c r="L67" s="181"/>
      <c r="M67" s="181"/>
    </row>
    <row r="68" spans="1:13" ht="15" customHeight="1">
      <c r="A68" s="79" t="s">
        <v>26</v>
      </c>
      <c r="B68" s="148">
        <f t="shared" si="5"/>
        <v>0</v>
      </c>
      <c r="C68" s="149"/>
      <c r="D68" s="149"/>
      <c r="E68" s="149"/>
      <c r="F68" s="152"/>
      <c r="H68" s="181"/>
      <c r="I68" s="181"/>
      <c r="J68" s="181"/>
      <c r="K68" s="181"/>
      <c r="L68" s="181"/>
      <c r="M68" s="181"/>
    </row>
    <row r="69" spans="1:6" ht="15" customHeight="1">
      <c r="A69" s="78" t="s">
        <v>0</v>
      </c>
      <c r="B69" s="144">
        <f t="shared" si="5"/>
        <v>7.216191</v>
      </c>
      <c r="C69" s="145">
        <v>4.221886</v>
      </c>
      <c r="D69" s="146">
        <v>0.031208</v>
      </c>
      <c r="E69" s="153">
        <v>1.971513</v>
      </c>
      <c r="F69" s="154">
        <v>0.991584</v>
      </c>
    </row>
    <row r="70" spans="1:6" ht="15" customHeight="1">
      <c r="A70" s="78" t="s">
        <v>34</v>
      </c>
      <c r="B70" s="144">
        <f t="shared" si="5"/>
        <v>3.652966</v>
      </c>
      <c r="C70" s="145">
        <f>C71</f>
        <v>3.237696</v>
      </c>
      <c r="D70" s="146">
        <f>D71</f>
        <v>0</v>
      </c>
      <c r="E70" s="146">
        <f>E71</f>
        <v>0.38301</v>
      </c>
      <c r="F70" s="147">
        <f>F71</f>
        <v>0.03226</v>
      </c>
    </row>
    <row r="71" spans="1:6" ht="15" customHeight="1">
      <c r="A71" s="79" t="s">
        <v>13</v>
      </c>
      <c r="B71" s="148">
        <f t="shared" si="5"/>
        <v>3.652966</v>
      </c>
      <c r="C71" s="145">
        <v>3.237696</v>
      </c>
      <c r="D71" s="146"/>
      <c r="E71" s="153">
        <v>0.38301</v>
      </c>
      <c r="F71" s="154">
        <v>0.03226</v>
      </c>
    </row>
    <row r="72" spans="1:6" ht="13.5" customHeight="1" thickBot="1">
      <c r="A72" s="80" t="s">
        <v>14</v>
      </c>
      <c r="B72" s="155">
        <f t="shared" si="5"/>
        <v>5.162</v>
      </c>
      <c r="C72" s="156">
        <v>4.468</v>
      </c>
      <c r="D72" s="157"/>
      <c r="E72" s="157">
        <v>0.63</v>
      </c>
      <c r="F72" s="158">
        <v>0.064</v>
      </c>
    </row>
    <row r="73" spans="1:6" ht="3.75" customHeight="1" hidden="1" thickBot="1">
      <c r="A73" s="72" t="s">
        <v>33</v>
      </c>
      <c r="B73" s="141">
        <f t="shared" si="5"/>
        <v>0</v>
      </c>
      <c r="C73" s="142">
        <f>C74+C82+C83</f>
        <v>0</v>
      </c>
      <c r="D73" s="142">
        <f>D74+D82+D83</f>
        <v>0</v>
      </c>
      <c r="E73" s="142">
        <f>E74+E82+E83</f>
        <v>0</v>
      </c>
      <c r="F73" s="143">
        <f>F74+F82+F83</f>
        <v>0</v>
      </c>
    </row>
    <row r="74" spans="1:6" ht="15" customHeight="1" hidden="1" thickBot="1">
      <c r="A74" s="78" t="s">
        <v>10</v>
      </c>
      <c r="B74" s="144">
        <f t="shared" si="5"/>
        <v>0</v>
      </c>
      <c r="C74" s="145">
        <f>C75+C76+C77+C78+C79+C80+C81</f>
        <v>0</v>
      </c>
      <c r="D74" s="146">
        <f>D75+D76+D77+D78+D79+D80+D81</f>
        <v>0</v>
      </c>
      <c r="E74" s="146">
        <f>E75+E76+E77+E78+E79+E80+E81</f>
        <v>0</v>
      </c>
      <c r="F74" s="147">
        <f>F75+F76+F77+F78+F79+F80+F81</f>
        <v>0</v>
      </c>
    </row>
    <row r="75" spans="1:6" ht="15" customHeight="1" hidden="1" thickBot="1">
      <c r="A75" s="79" t="s">
        <v>4</v>
      </c>
      <c r="B75" s="148">
        <f t="shared" si="5"/>
        <v>0</v>
      </c>
      <c r="C75" s="149"/>
      <c r="D75" s="150"/>
      <c r="E75" s="150"/>
      <c r="F75" s="151"/>
    </row>
    <row r="76" spans="1:6" ht="15" customHeight="1" hidden="1" thickBot="1">
      <c r="A76" s="79" t="s">
        <v>17</v>
      </c>
      <c r="B76" s="148">
        <f t="shared" si="5"/>
        <v>0</v>
      </c>
      <c r="C76" s="149"/>
      <c r="D76" s="150"/>
      <c r="E76" s="150"/>
      <c r="F76" s="151"/>
    </row>
    <row r="77" spans="1:6" ht="15" customHeight="1" hidden="1" thickBot="1">
      <c r="A77" s="79" t="s">
        <v>5</v>
      </c>
      <c r="B77" s="148">
        <f t="shared" si="5"/>
        <v>0</v>
      </c>
      <c r="C77" s="149"/>
      <c r="D77" s="150"/>
      <c r="E77" s="150"/>
      <c r="F77" s="151"/>
    </row>
    <row r="78" spans="1:6" ht="15" customHeight="1" hidden="1" thickBot="1">
      <c r="A78" s="79" t="s">
        <v>23</v>
      </c>
      <c r="B78" s="148">
        <f aca="true" t="shared" si="6" ref="B78:B85">SUM(C78:F78)</f>
        <v>0</v>
      </c>
      <c r="C78" s="149"/>
      <c r="D78" s="149"/>
      <c r="E78" s="149"/>
      <c r="F78" s="152"/>
    </row>
    <row r="79" spans="1:6" ht="15" customHeight="1" hidden="1" thickBot="1">
      <c r="A79" s="79" t="s">
        <v>24</v>
      </c>
      <c r="B79" s="148">
        <f t="shared" si="6"/>
        <v>0</v>
      </c>
      <c r="C79" s="149"/>
      <c r="D79" s="149"/>
      <c r="E79" s="149"/>
      <c r="F79" s="152"/>
    </row>
    <row r="80" spans="1:6" ht="15" customHeight="1" hidden="1" thickBot="1">
      <c r="A80" s="79" t="s">
        <v>25</v>
      </c>
      <c r="B80" s="148">
        <f t="shared" si="6"/>
        <v>0</v>
      </c>
      <c r="C80" s="149"/>
      <c r="D80" s="149"/>
      <c r="E80" s="149"/>
      <c r="F80" s="152"/>
    </row>
    <row r="81" spans="1:6" ht="13.5" hidden="1" thickBot="1">
      <c r="A81" s="79" t="s">
        <v>26</v>
      </c>
      <c r="B81" s="148">
        <f t="shared" si="6"/>
        <v>0</v>
      </c>
      <c r="C81" s="149"/>
      <c r="D81" s="149"/>
      <c r="E81" s="149"/>
      <c r="F81" s="152"/>
    </row>
    <row r="82" spans="1:6" ht="14.25" hidden="1" thickBot="1">
      <c r="A82" s="78" t="s">
        <v>0</v>
      </c>
      <c r="B82" s="144">
        <f t="shared" si="6"/>
        <v>0</v>
      </c>
      <c r="C82" s="145"/>
      <c r="D82" s="146"/>
      <c r="E82" s="153"/>
      <c r="F82" s="154"/>
    </row>
    <row r="83" spans="1:6" ht="14.25" hidden="1" thickBot="1">
      <c r="A83" s="78" t="s">
        <v>12</v>
      </c>
      <c r="B83" s="144">
        <f t="shared" si="6"/>
        <v>0</v>
      </c>
      <c r="C83" s="145">
        <f>C84</f>
        <v>0</v>
      </c>
      <c r="D83" s="146">
        <f>D84</f>
        <v>0</v>
      </c>
      <c r="E83" s="146">
        <f>E84</f>
        <v>0</v>
      </c>
      <c r="F83" s="147">
        <f>F84</f>
        <v>0</v>
      </c>
    </row>
    <row r="84" spans="1:6" ht="13.5" hidden="1" thickBot="1">
      <c r="A84" s="79" t="s">
        <v>13</v>
      </c>
      <c r="B84" s="148">
        <f t="shared" si="6"/>
        <v>0</v>
      </c>
      <c r="C84" s="149"/>
      <c r="D84" s="150"/>
      <c r="E84" s="150"/>
      <c r="F84" s="151"/>
    </row>
    <row r="85" spans="1:6" ht="13.5" hidden="1" thickBot="1">
      <c r="A85" s="80" t="s">
        <v>14</v>
      </c>
      <c r="B85" s="155">
        <f t="shared" si="6"/>
        <v>0</v>
      </c>
      <c r="C85" s="156"/>
      <c r="D85" s="157"/>
      <c r="E85" s="157"/>
      <c r="F85" s="158"/>
    </row>
    <row r="86" spans="1:6" ht="13.5" thickBot="1">
      <c r="A86" s="72" t="s">
        <v>35</v>
      </c>
      <c r="B86" s="141">
        <f aca="true" t="shared" si="7" ref="B86:B129">SUM(C86:F86)</f>
        <v>3.0920439999999996</v>
      </c>
      <c r="C86" s="142">
        <f>C87+C95+C96</f>
        <v>3.0634509999999997</v>
      </c>
      <c r="D86" s="142">
        <f>D87+D95+D96</f>
        <v>0</v>
      </c>
      <c r="E86" s="142">
        <f>E87+E95+E96</f>
        <v>0</v>
      </c>
      <c r="F86" s="143">
        <f>F87+F95+F96</f>
        <v>0.028593</v>
      </c>
    </row>
    <row r="87" spans="1:6" ht="13.5">
      <c r="A87" s="78" t="s">
        <v>10</v>
      </c>
      <c r="B87" s="144">
        <f t="shared" si="7"/>
        <v>0</v>
      </c>
      <c r="C87" s="145">
        <f>C88+C89+C90+C91+C92+C93+C94</f>
        <v>0</v>
      </c>
      <c r="D87" s="146">
        <f>D88+D89+D90+D91+D92+D93+D94</f>
        <v>0</v>
      </c>
      <c r="E87" s="146">
        <f>E88+E89+E90+E91+E92+E93+E94</f>
        <v>0</v>
      </c>
      <c r="F87" s="147">
        <f>F88+F89+F90+F91+F92+F93+F94</f>
        <v>0</v>
      </c>
    </row>
    <row r="88" spans="1:6" ht="12.75">
      <c r="A88" s="79" t="s">
        <v>4</v>
      </c>
      <c r="B88" s="148">
        <f t="shared" si="7"/>
        <v>0</v>
      </c>
      <c r="C88" s="149"/>
      <c r="D88" s="150"/>
      <c r="E88" s="150"/>
      <c r="F88" s="151"/>
    </row>
    <row r="89" spans="1:6" ht="12.75">
      <c r="A89" s="79" t="s">
        <v>17</v>
      </c>
      <c r="B89" s="148">
        <f t="shared" si="7"/>
        <v>0</v>
      </c>
      <c r="C89" s="149"/>
      <c r="D89" s="150"/>
      <c r="E89" s="150"/>
      <c r="F89" s="151"/>
    </row>
    <row r="90" spans="1:6" ht="12.75">
      <c r="A90" s="79" t="s">
        <v>5</v>
      </c>
      <c r="B90" s="148">
        <f t="shared" si="7"/>
        <v>0</v>
      </c>
      <c r="C90" s="149"/>
      <c r="D90" s="150"/>
      <c r="E90" s="150"/>
      <c r="F90" s="151"/>
    </row>
    <row r="91" spans="1:6" ht="12.75">
      <c r="A91" s="79" t="s">
        <v>23</v>
      </c>
      <c r="B91" s="148">
        <f t="shared" si="7"/>
        <v>0</v>
      </c>
      <c r="C91" s="149"/>
      <c r="D91" s="149"/>
      <c r="E91" s="149"/>
      <c r="F91" s="152"/>
    </row>
    <row r="92" spans="1:6" ht="12.75">
      <c r="A92" s="79" t="s">
        <v>24</v>
      </c>
      <c r="B92" s="148">
        <f t="shared" si="7"/>
        <v>0</v>
      </c>
      <c r="C92" s="149"/>
      <c r="D92" s="149"/>
      <c r="E92" s="149"/>
      <c r="F92" s="152"/>
    </row>
    <row r="93" spans="1:6" ht="12.75">
      <c r="A93" s="79" t="s">
        <v>25</v>
      </c>
      <c r="B93" s="148">
        <f t="shared" si="7"/>
        <v>0</v>
      </c>
      <c r="C93" s="149"/>
      <c r="D93" s="149"/>
      <c r="E93" s="149"/>
      <c r="F93" s="152"/>
    </row>
    <row r="94" spans="1:6" ht="12.75">
      <c r="A94" s="79" t="s">
        <v>26</v>
      </c>
      <c r="B94" s="148">
        <f t="shared" si="7"/>
        <v>0</v>
      </c>
      <c r="C94" s="149"/>
      <c r="D94" s="149"/>
      <c r="E94" s="149"/>
      <c r="F94" s="152"/>
    </row>
    <row r="95" spans="1:6" ht="13.5">
      <c r="A95" s="78" t="s">
        <v>0</v>
      </c>
      <c r="B95" s="144">
        <f t="shared" si="7"/>
        <v>1.163902</v>
      </c>
      <c r="C95" s="145">
        <v>1.135309</v>
      </c>
      <c r="D95" s="146"/>
      <c r="E95" s="153"/>
      <c r="F95" s="154">
        <v>0.028593</v>
      </c>
    </row>
    <row r="96" spans="1:6" ht="13.5">
      <c r="A96" s="78" t="s">
        <v>12</v>
      </c>
      <c r="B96" s="144">
        <f t="shared" si="7"/>
        <v>1.928142</v>
      </c>
      <c r="C96" s="145">
        <f>C97</f>
        <v>1.928142</v>
      </c>
      <c r="D96" s="146">
        <f>D97</f>
        <v>0</v>
      </c>
      <c r="E96" s="146">
        <f>E97</f>
        <v>0</v>
      </c>
      <c r="F96" s="147">
        <f>F97</f>
        <v>0</v>
      </c>
    </row>
    <row r="97" spans="1:6" ht="12.75">
      <c r="A97" s="79" t="s">
        <v>13</v>
      </c>
      <c r="B97" s="148">
        <f t="shared" si="7"/>
        <v>1.928142</v>
      </c>
      <c r="C97" s="149">
        <v>1.928142</v>
      </c>
      <c r="D97" s="150"/>
      <c r="E97" s="150"/>
      <c r="F97" s="151"/>
    </row>
    <row r="98" spans="1:6" ht="13.5" thickBot="1">
      <c r="A98" s="80" t="s">
        <v>14</v>
      </c>
      <c r="B98" s="155">
        <f t="shared" si="7"/>
        <v>1.545</v>
      </c>
      <c r="C98" s="156">
        <v>1.545</v>
      </c>
      <c r="D98" s="157"/>
      <c r="E98" s="157"/>
      <c r="F98" s="158"/>
    </row>
    <row r="99" spans="1:6" ht="13.5" thickBot="1">
      <c r="A99" s="72" t="s">
        <v>18</v>
      </c>
      <c r="B99" s="141">
        <f t="shared" si="7"/>
        <v>6.116961</v>
      </c>
      <c r="C99" s="142">
        <f>C100+C108+C109</f>
        <v>0.6239779999999999</v>
      </c>
      <c r="D99" s="142">
        <f>D100+D108+D109</f>
        <v>0</v>
      </c>
      <c r="E99" s="142">
        <f>E100+E108+E109</f>
        <v>2.286087</v>
      </c>
      <c r="F99" s="143">
        <f>F100+F108+F109</f>
        <v>3.206896</v>
      </c>
    </row>
    <row r="100" spans="1:6" ht="13.5">
      <c r="A100" s="78" t="s">
        <v>10</v>
      </c>
      <c r="B100" s="144">
        <f t="shared" si="7"/>
        <v>2.5049149999999996</v>
      </c>
      <c r="C100" s="145">
        <f>C101+C102+C103+C104+C106+C107+C105</f>
        <v>0.080204</v>
      </c>
      <c r="D100" s="146">
        <f>D101+D102+D103+D104+D106+D107+D105</f>
        <v>0</v>
      </c>
      <c r="E100" s="146">
        <f>E101+E102+E103+E104+E106+E107+E105</f>
        <v>0.164549</v>
      </c>
      <c r="F100" s="147">
        <f>F101+F102+F103+F104+F106+F107+F105</f>
        <v>2.260162</v>
      </c>
    </row>
    <row r="101" spans="1:6" ht="12.75">
      <c r="A101" s="79" t="s">
        <v>4</v>
      </c>
      <c r="B101" s="148">
        <f t="shared" si="7"/>
        <v>1.6150229999999999</v>
      </c>
      <c r="C101" s="149"/>
      <c r="D101" s="150"/>
      <c r="E101" s="150">
        <v>0.024517</v>
      </c>
      <c r="F101" s="151">
        <v>1.590506</v>
      </c>
    </row>
    <row r="102" spans="1:6" ht="12.75">
      <c r="A102" s="79" t="s">
        <v>17</v>
      </c>
      <c r="B102" s="148">
        <f t="shared" si="7"/>
        <v>0</v>
      </c>
      <c r="C102" s="149"/>
      <c r="D102" s="150"/>
      <c r="E102" s="150"/>
      <c r="F102" s="151"/>
    </row>
    <row r="103" spans="1:6" ht="12.75">
      <c r="A103" s="79" t="s">
        <v>5</v>
      </c>
      <c r="B103" s="148">
        <f t="shared" si="7"/>
        <v>0.660926</v>
      </c>
      <c r="C103" s="149"/>
      <c r="D103" s="150"/>
      <c r="E103" s="150">
        <v>0.00583</v>
      </c>
      <c r="F103" s="151">
        <v>0.655096</v>
      </c>
    </row>
    <row r="104" spans="1:6" ht="12.75">
      <c r="A104" s="79" t="s">
        <v>23</v>
      </c>
      <c r="B104" s="148">
        <f t="shared" si="7"/>
        <v>0</v>
      </c>
      <c r="C104" s="149"/>
      <c r="D104" s="149"/>
      <c r="E104" s="149"/>
      <c r="F104" s="152"/>
    </row>
    <row r="105" spans="1:6" ht="12.75">
      <c r="A105" s="79" t="s">
        <v>24</v>
      </c>
      <c r="B105" s="148">
        <f t="shared" si="7"/>
        <v>0.01456</v>
      </c>
      <c r="C105" s="149"/>
      <c r="D105" s="149"/>
      <c r="E105" s="149"/>
      <c r="F105" s="152">
        <v>0.01456</v>
      </c>
    </row>
    <row r="106" spans="1:6" ht="12.75">
      <c r="A106" s="79" t="s">
        <v>25</v>
      </c>
      <c r="B106" s="148">
        <f t="shared" si="7"/>
        <v>0.21440599999999999</v>
      </c>
      <c r="C106" s="149">
        <v>0.080204</v>
      </c>
      <c r="D106" s="149"/>
      <c r="E106" s="149">
        <v>0.134202</v>
      </c>
      <c r="F106" s="152"/>
    </row>
    <row r="107" spans="1:6" ht="12.75">
      <c r="A107" s="79" t="s">
        <v>26</v>
      </c>
      <c r="B107" s="148">
        <f t="shared" si="7"/>
        <v>0</v>
      </c>
      <c r="C107" s="149"/>
      <c r="D107" s="149"/>
      <c r="E107" s="149"/>
      <c r="F107" s="152"/>
    </row>
    <row r="108" spans="1:6" ht="13.5">
      <c r="A108" s="78" t="s">
        <v>0</v>
      </c>
      <c r="B108" s="144">
        <f t="shared" si="7"/>
        <v>3.421222</v>
      </c>
      <c r="C108" s="145">
        <v>0.543774</v>
      </c>
      <c r="D108" s="146"/>
      <c r="E108" s="153">
        <v>2.026254</v>
      </c>
      <c r="F108" s="154">
        <v>0.851194</v>
      </c>
    </row>
    <row r="109" spans="1:6" ht="13.5">
      <c r="A109" s="78" t="s">
        <v>12</v>
      </c>
      <c r="B109" s="144">
        <f t="shared" si="7"/>
        <v>0.190824</v>
      </c>
      <c r="C109" s="145">
        <f>C110</f>
        <v>0</v>
      </c>
      <c r="D109" s="146">
        <f>D110</f>
        <v>0</v>
      </c>
      <c r="E109" s="146">
        <f>E110</f>
        <v>0.095284</v>
      </c>
      <c r="F109" s="147">
        <f>F110</f>
        <v>0.09554</v>
      </c>
    </row>
    <row r="110" spans="1:6" ht="12.75">
      <c r="A110" s="79" t="s">
        <v>13</v>
      </c>
      <c r="B110" s="148">
        <f t="shared" si="7"/>
        <v>0.190824</v>
      </c>
      <c r="C110" s="149"/>
      <c r="D110" s="150"/>
      <c r="E110" s="150">
        <v>0.095284</v>
      </c>
      <c r="F110" s="151">
        <v>0.09554</v>
      </c>
    </row>
    <row r="111" spans="1:6" ht="13.5" thickBot="1">
      <c r="A111" s="80" t="s">
        <v>14</v>
      </c>
      <c r="B111" s="155">
        <f t="shared" si="7"/>
        <v>0.33499999999999996</v>
      </c>
      <c r="C111" s="156"/>
      <c r="D111" s="157"/>
      <c r="E111" s="157">
        <v>0.148</v>
      </c>
      <c r="F111" s="158">
        <v>0.187</v>
      </c>
    </row>
    <row r="112" spans="1:6" ht="13.5" thickBot="1">
      <c r="A112" s="72" t="s">
        <v>28</v>
      </c>
      <c r="B112" s="141">
        <f t="shared" si="7"/>
        <v>2.524286</v>
      </c>
      <c r="C112" s="142">
        <f>C113+C121+C122</f>
        <v>1.272129</v>
      </c>
      <c r="D112" s="142">
        <f>D113+D121+D122</f>
        <v>0</v>
      </c>
      <c r="E112" s="142">
        <f>E113+E121+E122</f>
        <v>0.740324</v>
      </c>
      <c r="F112" s="143">
        <f>F113+F121+F122</f>
        <v>0.511833</v>
      </c>
    </row>
    <row r="113" spans="1:6" ht="13.5">
      <c r="A113" s="78" t="s">
        <v>10</v>
      </c>
      <c r="B113" s="144">
        <f t="shared" si="7"/>
        <v>0.48488200000000004</v>
      </c>
      <c r="C113" s="145">
        <f>C114+C115+C116+C117+C118+C119+C120</f>
        <v>0.001325</v>
      </c>
      <c r="D113" s="146">
        <f>D114+D115+D116+D117+D118+D119+D120</f>
        <v>0</v>
      </c>
      <c r="E113" s="146">
        <f>E114+E115+E116+E117+E118+E119+E120</f>
        <v>0</v>
      </c>
      <c r="F113" s="147">
        <f>F114+F115+F116+F117+F118+F119+F120</f>
        <v>0.483557</v>
      </c>
    </row>
    <row r="114" spans="1:6" ht="12.75">
      <c r="A114" s="79" t="s">
        <v>4</v>
      </c>
      <c r="B114" s="148">
        <f t="shared" si="7"/>
        <v>0.474601</v>
      </c>
      <c r="C114" s="149">
        <v>0.000335</v>
      </c>
      <c r="D114" s="150"/>
      <c r="E114" s="150"/>
      <c r="F114" s="151">
        <v>0.474266</v>
      </c>
    </row>
    <row r="115" spans="1:6" ht="12.75">
      <c r="A115" s="79" t="s">
        <v>17</v>
      </c>
      <c r="B115" s="148">
        <f t="shared" si="7"/>
        <v>0.009291</v>
      </c>
      <c r="C115" s="149"/>
      <c r="D115" s="150"/>
      <c r="E115" s="150"/>
      <c r="F115" s="151">
        <v>0.009291</v>
      </c>
    </row>
    <row r="116" spans="1:6" ht="12.75">
      <c r="A116" s="79" t="s">
        <v>5</v>
      </c>
      <c r="B116" s="148">
        <f t="shared" si="7"/>
        <v>0</v>
      </c>
      <c r="C116" s="149"/>
      <c r="D116" s="150"/>
      <c r="E116" s="150"/>
      <c r="F116" s="151"/>
    </row>
    <row r="117" spans="1:6" ht="12.75">
      <c r="A117" s="79" t="s">
        <v>23</v>
      </c>
      <c r="B117" s="148">
        <f t="shared" si="7"/>
        <v>0</v>
      </c>
      <c r="C117" s="149"/>
      <c r="D117" s="149"/>
      <c r="E117" s="149"/>
      <c r="F117" s="152"/>
    </row>
    <row r="118" spans="1:6" ht="12.75">
      <c r="A118" s="79" t="s">
        <v>24</v>
      </c>
      <c r="B118" s="148">
        <f t="shared" si="7"/>
        <v>0</v>
      </c>
      <c r="C118" s="149"/>
      <c r="D118" s="149"/>
      <c r="E118" s="149"/>
      <c r="F118" s="152"/>
    </row>
    <row r="119" spans="1:6" ht="12.75">
      <c r="A119" s="79" t="s">
        <v>25</v>
      </c>
      <c r="B119" s="148">
        <f t="shared" si="7"/>
        <v>0</v>
      </c>
      <c r="C119" s="149"/>
      <c r="D119" s="149"/>
      <c r="E119" s="149"/>
      <c r="F119" s="152"/>
    </row>
    <row r="120" spans="1:6" ht="12.75">
      <c r="A120" s="79" t="s">
        <v>26</v>
      </c>
      <c r="B120" s="148">
        <f t="shared" si="7"/>
        <v>0.00099</v>
      </c>
      <c r="C120" s="149">
        <v>0.00099</v>
      </c>
      <c r="D120" s="149"/>
      <c r="E120" s="149"/>
      <c r="F120" s="152"/>
    </row>
    <row r="121" spans="1:6" ht="13.5">
      <c r="A121" s="78" t="s">
        <v>0</v>
      </c>
      <c r="B121" s="144">
        <f t="shared" si="7"/>
        <v>2.0034710000000002</v>
      </c>
      <c r="C121" s="145">
        <v>1.270804</v>
      </c>
      <c r="D121" s="146"/>
      <c r="E121" s="153">
        <v>0.715044</v>
      </c>
      <c r="F121" s="154">
        <v>0.017623</v>
      </c>
    </row>
    <row r="122" spans="1:6" ht="13.5">
      <c r="A122" s="78" t="s">
        <v>12</v>
      </c>
      <c r="B122" s="144">
        <f t="shared" si="7"/>
        <v>0.035933</v>
      </c>
      <c r="C122" s="145">
        <f>C123</f>
        <v>0</v>
      </c>
      <c r="D122" s="146">
        <f>D123</f>
        <v>0</v>
      </c>
      <c r="E122" s="146">
        <f>E123</f>
        <v>0.02528</v>
      </c>
      <c r="F122" s="147">
        <f>F123</f>
        <v>0.010653</v>
      </c>
    </row>
    <row r="123" spans="1:6" ht="12.75">
      <c r="A123" s="79" t="s">
        <v>13</v>
      </c>
      <c r="B123" s="148">
        <f t="shared" si="7"/>
        <v>0.035933</v>
      </c>
      <c r="C123" s="149"/>
      <c r="D123" s="150"/>
      <c r="E123" s="150">
        <v>0.02528</v>
      </c>
      <c r="F123" s="151">
        <v>0.010653</v>
      </c>
    </row>
    <row r="124" spans="1:6" ht="13.5" thickBot="1">
      <c r="A124" s="80" t="s">
        <v>14</v>
      </c>
      <c r="B124" s="155">
        <f t="shared" si="7"/>
        <v>0.104</v>
      </c>
      <c r="C124" s="156"/>
      <c r="D124" s="157"/>
      <c r="E124" s="157">
        <v>0.088</v>
      </c>
      <c r="F124" s="158">
        <v>0.016</v>
      </c>
    </row>
    <row r="125" spans="1:6" ht="13.5" thickBot="1">
      <c r="A125" s="72" t="s">
        <v>19</v>
      </c>
      <c r="B125" s="141">
        <f t="shared" si="7"/>
        <v>4.4323250000000005</v>
      </c>
      <c r="C125" s="142">
        <f>C126+C134+C135</f>
        <v>2.579081</v>
      </c>
      <c r="D125" s="142">
        <f>D126+D134+D135</f>
        <v>0</v>
      </c>
      <c r="E125" s="142">
        <f>E126+E134+E135</f>
        <v>1.1421320000000001</v>
      </c>
      <c r="F125" s="143">
        <f>F126+F134+F135</f>
        <v>0.7111120000000001</v>
      </c>
    </row>
    <row r="126" spans="1:6" ht="13.5">
      <c r="A126" s="78" t="s">
        <v>10</v>
      </c>
      <c r="B126" s="144">
        <f t="shared" si="7"/>
        <v>0.522173</v>
      </c>
      <c r="C126" s="145">
        <f>C127+C128+C129+C130+C131+C132+C133</f>
        <v>0</v>
      </c>
      <c r="D126" s="146">
        <f>D127+D128+D129+D130+D131+D132+D133</f>
        <v>0</v>
      </c>
      <c r="E126" s="146">
        <f>E127+E128+E129+E130+E131+E132+E133</f>
        <v>0.091241</v>
      </c>
      <c r="F126" s="147">
        <f>F127+F128+F129+F130+F131+F132+F133</f>
        <v>0.43093200000000004</v>
      </c>
    </row>
    <row r="127" spans="1:6" ht="12.75">
      <c r="A127" s="79" t="s">
        <v>4</v>
      </c>
      <c r="B127" s="148">
        <f t="shared" si="7"/>
        <v>0.169129</v>
      </c>
      <c r="C127" s="149"/>
      <c r="D127" s="150"/>
      <c r="E127" s="150">
        <v>0.055562</v>
      </c>
      <c r="F127" s="151">
        <v>0.113567</v>
      </c>
    </row>
    <row r="128" spans="1:6" ht="12.75">
      <c r="A128" s="79" t="s">
        <v>17</v>
      </c>
      <c r="B128" s="148">
        <f t="shared" si="7"/>
        <v>0.04378</v>
      </c>
      <c r="C128" s="149"/>
      <c r="D128" s="150"/>
      <c r="E128" s="150">
        <v>0.03014</v>
      </c>
      <c r="F128" s="151">
        <v>0.01364</v>
      </c>
    </row>
    <row r="129" spans="1:6" ht="12.75">
      <c r="A129" s="79" t="s">
        <v>5</v>
      </c>
      <c r="B129" s="148">
        <f t="shared" si="7"/>
        <v>0.308838</v>
      </c>
      <c r="C129" s="149"/>
      <c r="D129" s="150"/>
      <c r="E129" s="150">
        <v>0.005113</v>
      </c>
      <c r="F129" s="151">
        <v>0.303725</v>
      </c>
    </row>
    <row r="130" spans="1:6" ht="12.75">
      <c r="A130" s="79" t="s">
        <v>23</v>
      </c>
      <c r="B130" s="148">
        <f aca="true" t="shared" si="8" ref="B130:B146">SUM(C130:F130)</f>
        <v>0</v>
      </c>
      <c r="C130" s="149"/>
      <c r="D130" s="149"/>
      <c r="E130" s="149"/>
      <c r="F130" s="152"/>
    </row>
    <row r="131" spans="1:6" ht="12.75">
      <c r="A131" s="79" t="s">
        <v>24</v>
      </c>
      <c r="B131" s="148">
        <f t="shared" si="8"/>
        <v>8.4E-05</v>
      </c>
      <c r="C131" s="149"/>
      <c r="D131" s="149"/>
      <c r="E131" s="149">
        <v>8.4E-05</v>
      </c>
      <c r="F131" s="152"/>
    </row>
    <row r="132" spans="1:6" ht="12.75">
      <c r="A132" s="79" t="s">
        <v>25</v>
      </c>
      <c r="B132" s="148">
        <f t="shared" si="8"/>
        <v>0</v>
      </c>
      <c r="C132" s="149"/>
      <c r="D132" s="149"/>
      <c r="E132" s="149"/>
      <c r="F132" s="152"/>
    </row>
    <row r="133" spans="1:6" ht="12.75">
      <c r="A133" s="79" t="s">
        <v>26</v>
      </c>
      <c r="B133" s="148">
        <f t="shared" si="8"/>
        <v>0.000342</v>
      </c>
      <c r="C133" s="149"/>
      <c r="D133" s="149"/>
      <c r="E133" s="149">
        <v>0.000342</v>
      </c>
      <c r="F133" s="152"/>
    </row>
    <row r="134" spans="1:6" ht="13.5">
      <c r="A134" s="78" t="s">
        <v>0</v>
      </c>
      <c r="B134" s="144">
        <f t="shared" si="8"/>
        <v>3.5730330000000006</v>
      </c>
      <c r="C134" s="179">
        <v>2.547594</v>
      </c>
      <c r="D134" s="146"/>
      <c r="E134" s="153">
        <v>0.812559</v>
      </c>
      <c r="F134" s="154">
        <v>0.21288</v>
      </c>
    </row>
    <row r="135" spans="1:6" ht="13.5">
      <c r="A135" s="78" t="s">
        <v>12</v>
      </c>
      <c r="B135" s="144">
        <f t="shared" si="8"/>
        <v>0.33711899999999995</v>
      </c>
      <c r="C135" s="145">
        <f>C136</f>
        <v>0.031487</v>
      </c>
      <c r="D135" s="146">
        <f>D136</f>
        <v>0</v>
      </c>
      <c r="E135" s="146">
        <f>E136</f>
        <v>0.238332</v>
      </c>
      <c r="F135" s="147">
        <f>F136</f>
        <v>0.0673</v>
      </c>
    </row>
    <row r="136" spans="1:6" ht="12.75">
      <c r="A136" s="79" t="s">
        <v>13</v>
      </c>
      <c r="B136" s="148">
        <f t="shared" si="8"/>
        <v>0.33711899999999995</v>
      </c>
      <c r="C136" s="149">
        <v>0.031487</v>
      </c>
      <c r="D136" s="150"/>
      <c r="E136" s="149">
        <v>0.238332</v>
      </c>
      <c r="F136" s="151">
        <v>0.0673</v>
      </c>
    </row>
    <row r="137" spans="1:6" ht="13.5" thickBot="1">
      <c r="A137" s="80" t="s">
        <v>14</v>
      </c>
      <c r="B137" s="155">
        <f t="shared" si="8"/>
        <v>0.582</v>
      </c>
      <c r="C137" s="156">
        <v>0.059</v>
      </c>
      <c r="D137" s="157"/>
      <c r="E137" s="156">
        <v>0.41</v>
      </c>
      <c r="F137" s="158">
        <v>0.113</v>
      </c>
    </row>
    <row r="138" spans="1:6" ht="13.5" thickBot="1">
      <c r="A138" s="72" t="s">
        <v>20</v>
      </c>
      <c r="B138" s="141">
        <f t="shared" si="8"/>
        <v>0.8617090000000001</v>
      </c>
      <c r="C138" s="142">
        <f>C139+C147+C148</f>
        <v>0</v>
      </c>
      <c r="D138" s="142">
        <f>D139+D147+D148</f>
        <v>0</v>
      </c>
      <c r="E138" s="142">
        <f>E139+E147+E148</f>
        <v>0.43142</v>
      </c>
      <c r="F138" s="143">
        <f>F139+F147+F148</f>
        <v>0.43028900000000003</v>
      </c>
    </row>
    <row r="139" spans="1:6" ht="13.5">
      <c r="A139" s="78" t="s">
        <v>10</v>
      </c>
      <c r="B139" s="159">
        <f t="shared" si="8"/>
        <v>0.206238</v>
      </c>
      <c r="C139" s="160">
        <f>C140+C141+C142+C143+C144+C145+C146</f>
        <v>0</v>
      </c>
      <c r="D139" s="161">
        <f>D140+D141+D142+D143+D144+D145+D146</f>
        <v>0</v>
      </c>
      <c r="E139" s="161">
        <f>E140+E141+E142+E143+E144+E145+E146</f>
        <v>0.012872</v>
      </c>
      <c r="F139" s="162">
        <f>F140+F141+F142+F143+F144+F145+F146</f>
        <v>0.193366</v>
      </c>
    </row>
    <row r="140" spans="1:6" ht="12.75">
      <c r="A140" s="79" t="s">
        <v>4</v>
      </c>
      <c r="B140" s="148">
        <f t="shared" si="8"/>
        <v>0.144046</v>
      </c>
      <c r="C140" s="149"/>
      <c r="D140" s="149"/>
      <c r="E140" s="149">
        <v>0.012872</v>
      </c>
      <c r="F140" s="152">
        <v>0.131174</v>
      </c>
    </row>
    <row r="141" spans="1:6" ht="12.75">
      <c r="A141" s="79" t="s">
        <v>17</v>
      </c>
      <c r="B141" s="148">
        <f t="shared" si="8"/>
        <v>0</v>
      </c>
      <c r="C141" s="149"/>
      <c r="D141" s="149"/>
      <c r="E141" s="149"/>
      <c r="F141" s="152"/>
    </row>
    <row r="142" spans="1:6" ht="12.75">
      <c r="A142" s="79" t="s">
        <v>5</v>
      </c>
      <c r="B142" s="148">
        <f t="shared" si="8"/>
        <v>0.062192</v>
      </c>
      <c r="C142" s="149"/>
      <c r="D142" s="149"/>
      <c r="E142" s="149"/>
      <c r="F142" s="152">
        <v>0.062192</v>
      </c>
    </row>
    <row r="143" spans="1:6" ht="12.75">
      <c r="A143" s="79" t="s">
        <v>23</v>
      </c>
      <c r="B143" s="148">
        <f t="shared" si="8"/>
        <v>0</v>
      </c>
      <c r="C143" s="149"/>
      <c r="D143" s="149"/>
      <c r="E143" s="149"/>
      <c r="F143" s="152"/>
    </row>
    <row r="144" spans="1:6" ht="12.75">
      <c r="A144" s="79" t="s">
        <v>24</v>
      </c>
      <c r="B144" s="148">
        <f t="shared" si="8"/>
        <v>0</v>
      </c>
      <c r="C144" s="149"/>
      <c r="D144" s="149"/>
      <c r="E144" s="149"/>
      <c r="F144" s="152"/>
    </row>
    <row r="145" spans="1:6" ht="12.75">
      <c r="A145" s="79" t="s">
        <v>25</v>
      </c>
      <c r="B145" s="148">
        <f t="shared" si="8"/>
        <v>0</v>
      </c>
      <c r="C145" s="149"/>
      <c r="D145" s="149"/>
      <c r="E145" s="149"/>
      <c r="F145" s="152"/>
    </row>
    <row r="146" spans="1:6" ht="12.75">
      <c r="A146" s="79" t="s">
        <v>26</v>
      </c>
      <c r="B146" s="148">
        <f t="shared" si="8"/>
        <v>0</v>
      </c>
      <c r="C146" s="149"/>
      <c r="D146" s="149"/>
      <c r="E146" s="149"/>
      <c r="F146" s="152"/>
    </row>
    <row r="147" spans="1:6" ht="13.5">
      <c r="A147" s="78" t="s">
        <v>0</v>
      </c>
      <c r="B147" s="163">
        <f aca="true" t="shared" si="9" ref="B147:B190">SUM(C147:F147)</f>
        <v>0.503071</v>
      </c>
      <c r="C147" s="164"/>
      <c r="D147" s="164"/>
      <c r="E147" s="164">
        <v>0.266148</v>
      </c>
      <c r="F147" s="165">
        <v>0.236923</v>
      </c>
    </row>
    <row r="148" spans="1:6" ht="13.5">
      <c r="A148" s="78" t="s">
        <v>12</v>
      </c>
      <c r="B148" s="144">
        <f t="shared" si="9"/>
        <v>0.1524</v>
      </c>
      <c r="C148" s="145">
        <f>C149</f>
        <v>0</v>
      </c>
      <c r="D148" s="146">
        <f>D149</f>
        <v>0</v>
      </c>
      <c r="E148" s="146">
        <f>E149</f>
        <v>0.1524</v>
      </c>
      <c r="F148" s="147">
        <f>F149</f>
        <v>0</v>
      </c>
    </row>
    <row r="149" spans="1:6" ht="12.75">
      <c r="A149" s="79" t="s">
        <v>13</v>
      </c>
      <c r="B149" s="148">
        <f t="shared" si="9"/>
        <v>0.1524</v>
      </c>
      <c r="C149" s="149"/>
      <c r="D149" s="150"/>
      <c r="E149" s="150">
        <v>0.1524</v>
      </c>
      <c r="F149" s="151"/>
    </row>
    <row r="150" spans="1:6" ht="13.5" thickBot="1">
      <c r="A150" s="80" t="s">
        <v>14</v>
      </c>
      <c r="B150" s="155">
        <f t="shared" si="9"/>
        <v>0.238</v>
      </c>
      <c r="C150" s="156"/>
      <c r="D150" s="157"/>
      <c r="E150" s="157">
        <v>0.238</v>
      </c>
      <c r="F150" s="158"/>
    </row>
    <row r="151" spans="1:6" ht="13.5" thickBot="1">
      <c r="A151" s="72" t="s">
        <v>21</v>
      </c>
      <c r="B151" s="141">
        <f t="shared" si="9"/>
        <v>2.230573</v>
      </c>
      <c r="C151" s="142">
        <f>C152+C160+C161</f>
        <v>0</v>
      </c>
      <c r="D151" s="142">
        <f>D152+D160+D161</f>
        <v>0</v>
      </c>
      <c r="E151" s="142">
        <f>E152+E160+E161</f>
        <v>1.222839</v>
      </c>
      <c r="F151" s="143">
        <f>F152+F160+F161</f>
        <v>1.0077340000000001</v>
      </c>
    </row>
    <row r="152" spans="1:6" ht="13.5">
      <c r="A152" s="78" t="s">
        <v>10</v>
      </c>
      <c r="B152" s="144">
        <f t="shared" si="9"/>
        <v>1.156303</v>
      </c>
      <c r="C152" s="145">
        <f>C153+C154+C155+C156+C157+C158+C159</f>
        <v>0</v>
      </c>
      <c r="D152" s="146">
        <f>D153+D154+D155+D156+D157+D158+D159</f>
        <v>0</v>
      </c>
      <c r="E152" s="146">
        <f>E153+E154+E155+E156+E157+E158+E159</f>
        <v>0.418955</v>
      </c>
      <c r="F152" s="147">
        <f>F153+F154+F155+F156+F157+F158+F159</f>
        <v>0.737348</v>
      </c>
    </row>
    <row r="153" spans="1:6" ht="12.75">
      <c r="A153" s="79" t="s">
        <v>4</v>
      </c>
      <c r="B153" s="148">
        <f t="shared" si="9"/>
        <v>0.668308</v>
      </c>
      <c r="C153" s="149"/>
      <c r="D153" s="150"/>
      <c r="E153" s="150">
        <v>0.225314</v>
      </c>
      <c r="F153" s="151">
        <v>0.442994</v>
      </c>
    </row>
    <row r="154" spans="1:6" ht="12.75">
      <c r="A154" s="79" t="s">
        <v>17</v>
      </c>
      <c r="B154" s="148">
        <f t="shared" si="9"/>
        <v>0.275945</v>
      </c>
      <c r="C154" s="149"/>
      <c r="D154" s="150"/>
      <c r="E154" s="150">
        <v>0.189926</v>
      </c>
      <c r="F154" s="151">
        <v>0.086019</v>
      </c>
    </row>
    <row r="155" spans="1:6" ht="12.75">
      <c r="A155" s="79" t="s">
        <v>5</v>
      </c>
      <c r="B155" s="148">
        <f t="shared" si="9"/>
        <v>0.206788</v>
      </c>
      <c r="C155" s="149"/>
      <c r="D155" s="150"/>
      <c r="E155" s="150">
        <v>0.002149</v>
      </c>
      <c r="F155" s="151">
        <v>0.204639</v>
      </c>
    </row>
    <row r="156" spans="1:6" ht="12.75">
      <c r="A156" s="79" t="s">
        <v>23</v>
      </c>
      <c r="B156" s="148">
        <f t="shared" si="9"/>
        <v>0</v>
      </c>
      <c r="C156" s="149"/>
      <c r="D156" s="149"/>
      <c r="E156" s="149"/>
      <c r="F156" s="152"/>
    </row>
    <row r="157" spans="1:6" ht="12.75">
      <c r="A157" s="79" t="s">
        <v>24</v>
      </c>
      <c r="B157" s="148">
        <f t="shared" si="9"/>
        <v>0.003564</v>
      </c>
      <c r="C157" s="149"/>
      <c r="D157" s="149"/>
      <c r="E157" s="149"/>
      <c r="F157" s="152">
        <v>0.003564</v>
      </c>
    </row>
    <row r="158" spans="1:6" ht="12.75">
      <c r="A158" s="79" t="s">
        <v>25</v>
      </c>
      <c r="B158" s="148">
        <f t="shared" si="9"/>
        <v>0</v>
      </c>
      <c r="C158" s="149"/>
      <c r="D158" s="149"/>
      <c r="E158" s="149"/>
      <c r="F158" s="152"/>
    </row>
    <row r="159" spans="1:6" ht="12.75">
      <c r="A159" s="79" t="s">
        <v>26</v>
      </c>
      <c r="B159" s="148">
        <f t="shared" si="9"/>
        <v>0.0016979999999999999</v>
      </c>
      <c r="C159" s="149"/>
      <c r="D159" s="149"/>
      <c r="E159" s="149">
        <v>0.001566</v>
      </c>
      <c r="F159" s="152">
        <v>0.000132</v>
      </c>
    </row>
    <row r="160" spans="1:6" ht="13.5">
      <c r="A160" s="78" t="s">
        <v>0</v>
      </c>
      <c r="B160" s="144">
        <f t="shared" si="9"/>
        <v>0.803519</v>
      </c>
      <c r="C160" s="145"/>
      <c r="D160" s="146"/>
      <c r="E160" s="153">
        <v>0.595725</v>
      </c>
      <c r="F160" s="154">
        <v>0.207794</v>
      </c>
    </row>
    <row r="161" spans="1:6" ht="13.5">
      <c r="A161" s="78" t="s">
        <v>12</v>
      </c>
      <c r="B161" s="144">
        <f t="shared" si="9"/>
        <v>0.270751</v>
      </c>
      <c r="C161" s="145">
        <f>C162</f>
        <v>0</v>
      </c>
      <c r="D161" s="146">
        <f>D162</f>
        <v>0</v>
      </c>
      <c r="E161" s="146">
        <f>E162</f>
        <v>0.208159</v>
      </c>
      <c r="F161" s="147">
        <f>F162</f>
        <v>0.062592</v>
      </c>
    </row>
    <row r="162" spans="1:6" ht="12.75">
      <c r="A162" s="79" t="s">
        <v>13</v>
      </c>
      <c r="B162" s="148">
        <f t="shared" si="9"/>
        <v>0.270751</v>
      </c>
      <c r="C162" s="149"/>
      <c r="D162" s="150"/>
      <c r="E162" s="150">
        <v>0.208159</v>
      </c>
      <c r="F162" s="151">
        <v>0.062592</v>
      </c>
    </row>
    <row r="163" spans="1:6" ht="13.5" thickBot="1">
      <c r="A163" s="80" t="s">
        <v>14</v>
      </c>
      <c r="B163" s="155">
        <f t="shared" si="9"/>
        <v>0.41300000000000003</v>
      </c>
      <c r="C163" s="156"/>
      <c r="D163" s="157"/>
      <c r="E163" s="157">
        <v>0.314</v>
      </c>
      <c r="F163" s="158">
        <v>0.099</v>
      </c>
    </row>
    <row r="164" spans="1:6" ht="13.5" thickBot="1">
      <c r="A164" s="72" t="s">
        <v>22</v>
      </c>
      <c r="B164" s="141">
        <f t="shared" si="9"/>
        <v>2.812455</v>
      </c>
      <c r="C164" s="142">
        <f>C165+C173+C174</f>
        <v>0</v>
      </c>
      <c r="D164" s="142">
        <f>D165+D173+D174</f>
        <v>0</v>
      </c>
      <c r="E164" s="142">
        <f>E165+E173+E174</f>
        <v>1.6302729999999999</v>
      </c>
      <c r="F164" s="143">
        <f>F165+F173+F174</f>
        <v>1.182182</v>
      </c>
    </row>
    <row r="165" spans="1:6" ht="13.5">
      <c r="A165" s="78" t="s">
        <v>10</v>
      </c>
      <c r="B165" s="144">
        <f t="shared" si="9"/>
        <v>1.6518359999999999</v>
      </c>
      <c r="C165" s="145">
        <f>C166+C167+C168+C169+C170+C171+C172</f>
        <v>0</v>
      </c>
      <c r="D165" s="146">
        <f>D166+D167+D168+D169+D170+D171+D172</f>
        <v>0</v>
      </c>
      <c r="E165" s="146">
        <f>E166+E167+E168+E169+E170+E171+E172</f>
        <v>0.691139</v>
      </c>
      <c r="F165" s="147">
        <f>F166+F167+F168+F169+F170+F171+F172</f>
        <v>0.960697</v>
      </c>
    </row>
    <row r="166" spans="1:6" ht="13.5">
      <c r="A166" s="78" t="s">
        <v>4</v>
      </c>
      <c r="B166" s="148">
        <f t="shared" si="9"/>
        <v>1.1342219999999998</v>
      </c>
      <c r="C166" s="149"/>
      <c r="D166" s="150"/>
      <c r="E166" s="150">
        <v>0.426628</v>
      </c>
      <c r="F166" s="151">
        <v>0.707594</v>
      </c>
    </row>
    <row r="167" spans="1:6" ht="13.5">
      <c r="A167" s="78" t="s">
        <v>17</v>
      </c>
      <c r="B167" s="148">
        <f t="shared" si="9"/>
        <v>0.453712</v>
      </c>
      <c r="C167" s="149"/>
      <c r="D167" s="150"/>
      <c r="E167" s="150">
        <v>0.243914</v>
      </c>
      <c r="F167" s="151">
        <v>0.209798</v>
      </c>
    </row>
    <row r="168" spans="1:6" ht="13.5">
      <c r="A168" s="78" t="s">
        <v>5</v>
      </c>
      <c r="B168" s="148">
        <f t="shared" si="9"/>
        <v>0.050699</v>
      </c>
      <c r="C168" s="149"/>
      <c r="D168" s="150"/>
      <c r="E168" s="150">
        <v>0.00772</v>
      </c>
      <c r="F168" s="151">
        <v>0.042979</v>
      </c>
    </row>
    <row r="169" spans="1:6" ht="12.75">
      <c r="A169" s="79" t="s">
        <v>23</v>
      </c>
      <c r="B169" s="148">
        <f t="shared" si="9"/>
        <v>0</v>
      </c>
      <c r="C169" s="149"/>
      <c r="D169" s="149"/>
      <c r="E169" s="149"/>
      <c r="F169" s="152"/>
    </row>
    <row r="170" spans="1:6" ht="12.75">
      <c r="A170" s="79" t="s">
        <v>24</v>
      </c>
      <c r="B170" s="148">
        <f t="shared" si="9"/>
        <v>0.011582</v>
      </c>
      <c r="C170" s="149"/>
      <c r="D170" s="149"/>
      <c r="E170" s="149">
        <v>0.011582</v>
      </c>
      <c r="F170" s="152"/>
    </row>
    <row r="171" spans="1:6" ht="12.75">
      <c r="A171" s="79" t="s">
        <v>25</v>
      </c>
      <c r="B171" s="148">
        <f t="shared" si="9"/>
        <v>0</v>
      </c>
      <c r="C171" s="149"/>
      <c r="D171" s="149"/>
      <c r="E171" s="149"/>
      <c r="F171" s="152"/>
    </row>
    <row r="172" spans="1:6" ht="12.75">
      <c r="A172" s="79" t="s">
        <v>26</v>
      </c>
      <c r="B172" s="148">
        <f t="shared" si="9"/>
        <v>0.001621</v>
      </c>
      <c r="C172" s="149"/>
      <c r="D172" s="149"/>
      <c r="E172" s="149">
        <v>0.001295</v>
      </c>
      <c r="F172" s="152">
        <v>0.000326</v>
      </c>
    </row>
    <row r="173" spans="1:6" ht="13.5">
      <c r="A173" s="78" t="s">
        <v>0</v>
      </c>
      <c r="B173" s="144">
        <f t="shared" si="9"/>
        <v>1.062146</v>
      </c>
      <c r="C173" s="145"/>
      <c r="D173" s="146"/>
      <c r="E173" s="153">
        <v>0.908301</v>
      </c>
      <c r="F173" s="154">
        <v>0.153845</v>
      </c>
    </row>
    <row r="174" spans="1:10" ht="13.5">
      <c r="A174" s="78" t="s">
        <v>12</v>
      </c>
      <c r="B174" s="144">
        <f t="shared" si="9"/>
        <v>0.098473</v>
      </c>
      <c r="C174" s="145">
        <f>C175</f>
        <v>0</v>
      </c>
      <c r="D174" s="146">
        <f>D175</f>
        <v>0</v>
      </c>
      <c r="E174" s="146">
        <f>E175</f>
        <v>0.030833</v>
      </c>
      <c r="F174" s="147">
        <f>F175</f>
        <v>0.06764</v>
      </c>
      <c r="H174" s="181"/>
      <c r="I174" s="181"/>
      <c r="J174" s="181"/>
    </row>
    <row r="175" spans="1:10" ht="12.75">
      <c r="A175" s="79" t="s">
        <v>13</v>
      </c>
      <c r="B175" s="148">
        <f t="shared" si="9"/>
        <v>0.098473</v>
      </c>
      <c r="C175" s="149"/>
      <c r="D175" s="150"/>
      <c r="E175" s="150">
        <v>0.030833</v>
      </c>
      <c r="F175" s="151">
        <v>0.06764</v>
      </c>
      <c r="H175" s="181"/>
      <c r="I175" s="181"/>
      <c r="J175" s="181"/>
    </row>
    <row r="176" spans="1:10" ht="13.5" thickBot="1">
      <c r="A176" s="80" t="s">
        <v>14</v>
      </c>
      <c r="B176" s="155">
        <f t="shared" si="9"/>
        <v>0.21299999999999997</v>
      </c>
      <c r="C176" s="156"/>
      <c r="D176" s="157"/>
      <c r="E176" s="157">
        <v>0.071</v>
      </c>
      <c r="F176" s="158">
        <v>0.142</v>
      </c>
      <c r="H176" s="181"/>
      <c r="I176" s="181"/>
      <c r="J176" s="181"/>
    </row>
    <row r="177" spans="1:10" ht="13.5" thickBot="1">
      <c r="A177" s="72" t="s">
        <v>36</v>
      </c>
      <c r="B177" s="141">
        <f t="shared" si="9"/>
        <v>6.262865</v>
      </c>
      <c r="C177" s="142">
        <f>C178+C186+C187</f>
        <v>0</v>
      </c>
      <c r="D177" s="142">
        <f>D178+D186+D187</f>
        <v>0</v>
      </c>
      <c r="E177" s="142">
        <f>E178+E186+E187</f>
        <v>1.2033449999999999</v>
      </c>
      <c r="F177" s="143">
        <f>F178+F186+F187</f>
        <v>5.05952</v>
      </c>
      <c r="H177" s="181"/>
      <c r="I177" s="181"/>
      <c r="J177" s="181"/>
    </row>
    <row r="178" spans="1:10" ht="13.5">
      <c r="A178" s="78" t="s">
        <v>10</v>
      </c>
      <c r="B178" s="144">
        <f t="shared" si="9"/>
        <v>4.01807</v>
      </c>
      <c r="C178" s="145">
        <f>C179+C180+C181+C182+C183+C184+C185</f>
        <v>0</v>
      </c>
      <c r="D178" s="146">
        <f>D179+D180+D181+D182+D183+D184+D185</f>
        <v>0</v>
      </c>
      <c r="E178" s="146">
        <f>E179+E180+E181+E182+E183+E184+E185</f>
        <v>0.038582</v>
      </c>
      <c r="F178" s="147">
        <f>F179+F180+F181+F182+F183+F184+F185</f>
        <v>3.979488</v>
      </c>
      <c r="H178" s="181"/>
      <c r="I178" s="181"/>
      <c r="J178" s="181"/>
    </row>
    <row r="179" spans="1:10" ht="12.75">
      <c r="A179" s="79" t="s">
        <v>4</v>
      </c>
      <c r="B179" s="148">
        <f t="shared" si="9"/>
        <v>0.384633</v>
      </c>
      <c r="C179" s="149"/>
      <c r="D179" s="150"/>
      <c r="E179" s="150">
        <v>0.00712</v>
      </c>
      <c r="F179" s="151">
        <v>0.377513</v>
      </c>
      <c r="H179" s="181"/>
      <c r="I179" s="181"/>
      <c r="J179" s="181"/>
    </row>
    <row r="180" spans="1:10" ht="12.75">
      <c r="A180" s="79" t="s">
        <v>17</v>
      </c>
      <c r="B180" s="148">
        <f t="shared" si="9"/>
        <v>0</v>
      </c>
      <c r="C180" s="149"/>
      <c r="D180" s="150"/>
      <c r="E180" s="150"/>
      <c r="F180" s="151"/>
      <c r="H180" s="181"/>
      <c r="I180" s="181"/>
      <c r="J180" s="181"/>
    </row>
    <row r="181" spans="1:10" ht="12.75">
      <c r="A181" s="79" t="s">
        <v>5</v>
      </c>
      <c r="B181" s="148">
        <f t="shared" si="9"/>
        <v>3.624177</v>
      </c>
      <c r="C181" s="149"/>
      <c r="D181" s="150"/>
      <c r="E181" s="150">
        <v>0.025636</v>
      </c>
      <c r="F181" s="151">
        <v>3.598541</v>
      </c>
      <c r="H181" s="181"/>
      <c r="I181" s="181"/>
      <c r="J181" s="181"/>
    </row>
    <row r="182" spans="1:10" ht="12.75">
      <c r="A182" s="79" t="s">
        <v>23</v>
      </c>
      <c r="B182" s="148">
        <f t="shared" si="9"/>
        <v>0</v>
      </c>
      <c r="C182" s="149"/>
      <c r="D182" s="149"/>
      <c r="E182" s="149"/>
      <c r="F182" s="152"/>
      <c r="H182" s="181"/>
      <c r="I182" s="181"/>
      <c r="J182" s="181"/>
    </row>
    <row r="183" spans="1:10" ht="12.75">
      <c r="A183" s="79" t="s">
        <v>24</v>
      </c>
      <c r="B183" s="148">
        <f t="shared" si="9"/>
        <v>0.00926</v>
      </c>
      <c r="C183" s="149"/>
      <c r="D183" s="149"/>
      <c r="E183" s="149">
        <v>0.005826</v>
      </c>
      <c r="F183" s="152">
        <v>0.003434</v>
      </c>
      <c r="H183" s="181"/>
      <c r="I183" s="181"/>
      <c r="J183" s="181"/>
    </row>
    <row r="184" spans="1:10" ht="12.75">
      <c r="A184" s="79" t="s">
        <v>25</v>
      </c>
      <c r="B184" s="148">
        <f t="shared" si="9"/>
        <v>0</v>
      </c>
      <c r="C184" s="149"/>
      <c r="D184" s="149"/>
      <c r="E184" s="149"/>
      <c r="F184" s="152"/>
      <c r="H184" s="181"/>
      <c r="I184" s="181"/>
      <c r="J184" s="181"/>
    </row>
    <row r="185" spans="1:10" ht="12.75">
      <c r="A185" s="79" t="s">
        <v>26</v>
      </c>
      <c r="B185" s="148">
        <f t="shared" si="9"/>
        <v>0</v>
      </c>
      <c r="C185" s="149"/>
      <c r="D185" s="149"/>
      <c r="E185" s="149"/>
      <c r="F185" s="152"/>
      <c r="H185" s="181"/>
      <c r="I185" s="181"/>
      <c r="J185" s="181"/>
    </row>
    <row r="186" spans="1:10" ht="13.5">
      <c r="A186" s="78" t="s">
        <v>0</v>
      </c>
      <c r="B186" s="144">
        <f t="shared" si="9"/>
        <v>2.047631</v>
      </c>
      <c r="C186" s="145"/>
      <c r="D186" s="146"/>
      <c r="E186" s="153">
        <v>1.077582</v>
      </c>
      <c r="F186" s="154">
        <v>0.970049</v>
      </c>
      <c r="H186" s="181"/>
      <c r="I186" s="180"/>
      <c r="J186" s="181"/>
    </row>
    <row r="187" spans="1:10" ht="13.5">
      <c r="A187" s="82" t="s">
        <v>12</v>
      </c>
      <c r="B187" s="163">
        <f t="shared" si="9"/>
        <v>0.197164</v>
      </c>
      <c r="C187" s="164">
        <f>C188</f>
        <v>0</v>
      </c>
      <c r="D187" s="153">
        <f>D188</f>
        <v>0</v>
      </c>
      <c r="E187" s="153">
        <f>E188</f>
        <v>0.087181</v>
      </c>
      <c r="F187" s="154">
        <f>F188</f>
        <v>0.109983</v>
      </c>
      <c r="H187" s="181"/>
      <c r="I187" s="180"/>
      <c r="J187" s="181"/>
    </row>
    <row r="188" spans="1:10" ht="12.75">
      <c r="A188" s="79" t="s">
        <v>13</v>
      </c>
      <c r="B188" s="148">
        <f t="shared" si="9"/>
        <v>0.197164</v>
      </c>
      <c r="C188" s="149"/>
      <c r="D188" s="150"/>
      <c r="E188" s="150">
        <v>0.087181</v>
      </c>
      <c r="F188" s="151">
        <v>0.109983</v>
      </c>
      <c r="H188" s="181"/>
      <c r="I188" s="180"/>
      <c r="J188" s="181"/>
    </row>
    <row r="189" spans="1:10" ht="13.5" thickBot="1">
      <c r="A189" s="80" t="s">
        <v>14</v>
      </c>
      <c r="B189" s="155">
        <f t="shared" si="9"/>
        <v>0.376</v>
      </c>
      <c r="C189" s="156"/>
      <c r="D189" s="157"/>
      <c r="E189" s="157">
        <v>0.162</v>
      </c>
      <c r="F189" s="158">
        <v>0.214</v>
      </c>
      <c r="H189" s="181"/>
      <c r="I189" s="181"/>
      <c r="J189" s="181"/>
    </row>
    <row r="190" spans="1:10" ht="13.5" thickBot="1">
      <c r="A190" s="72" t="s">
        <v>30</v>
      </c>
      <c r="B190" s="141">
        <f t="shared" si="9"/>
        <v>0.33425299999999997</v>
      </c>
      <c r="C190" s="142">
        <f>C191+C199+C200</f>
        <v>0</v>
      </c>
      <c r="D190" s="142">
        <f>D191+D199+D200</f>
        <v>0</v>
      </c>
      <c r="E190" s="142">
        <f>E191+E199+E200</f>
        <v>0.301793</v>
      </c>
      <c r="F190" s="143">
        <f>F191+F199+F200</f>
        <v>0.032459999999999996</v>
      </c>
      <c r="H190" s="181"/>
      <c r="I190" s="181"/>
      <c r="J190" s="181"/>
    </row>
    <row r="191" spans="1:10" ht="13.5">
      <c r="A191" s="78" t="s">
        <v>10</v>
      </c>
      <c r="B191" s="159">
        <f aca="true" t="shared" si="10" ref="B191:B199">SUM(C191:F191)</f>
        <v>0.033079</v>
      </c>
      <c r="C191" s="160">
        <f>C192+C193+C194+C195+C196+C197+C198</f>
        <v>0</v>
      </c>
      <c r="D191" s="160">
        <f>D192+D193+D194+D195+D196+D197+D198</f>
        <v>0</v>
      </c>
      <c r="E191" s="160">
        <f>E192+E193+E194+E195+E196+E197+E198</f>
        <v>0.000644</v>
      </c>
      <c r="F191" s="166">
        <f>F192+F193+F194+F195+F196+F197+F198</f>
        <v>0.032435</v>
      </c>
      <c r="H191" s="181"/>
      <c r="I191" s="181"/>
      <c r="J191" s="181"/>
    </row>
    <row r="192" spans="1:10" ht="12.75">
      <c r="A192" s="79" t="s">
        <v>4</v>
      </c>
      <c r="B192" s="148">
        <f t="shared" si="10"/>
        <v>0.024435</v>
      </c>
      <c r="C192" s="149"/>
      <c r="D192" s="150"/>
      <c r="E192" s="150"/>
      <c r="F192" s="151">
        <v>0.024435</v>
      </c>
      <c r="H192" s="181"/>
      <c r="I192" s="181"/>
      <c r="J192" s="181"/>
    </row>
    <row r="193" spans="1:10" ht="12.75">
      <c r="A193" s="79" t="s">
        <v>17</v>
      </c>
      <c r="B193" s="148">
        <f t="shared" si="10"/>
        <v>0</v>
      </c>
      <c r="C193" s="149"/>
      <c r="D193" s="150"/>
      <c r="E193" s="150"/>
      <c r="F193" s="151"/>
      <c r="H193" s="181"/>
      <c r="I193" s="181"/>
      <c r="J193" s="181"/>
    </row>
    <row r="194" spans="1:10" ht="12.75">
      <c r="A194" s="79" t="s">
        <v>5</v>
      </c>
      <c r="B194" s="148">
        <f t="shared" si="10"/>
        <v>0.000644</v>
      </c>
      <c r="C194" s="149"/>
      <c r="D194" s="150"/>
      <c r="E194" s="150">
        <v>0.000644</v>
      </c>
      <c r="F194" s="151"/>
      <c r="H194" s="181"/>
      <c r="I194" s="181"/>
      <c r="J194" s="181"/>
    </row>
    <row r="195" spans="1:10" ht="12.75">
      <c r="A195" s="79" t="s">
        <v>23</v>
      </c>
      <c r="B195" s="148">
        <f t="shared" si="10"/>
        <v>0</v>
      </c>
      <c r="C195" s="149"/>
      <c r="D195" s="149"/>
      <c r="E195" s="149"/>
      <c r="F195" s="152"/>
      <c r="H195" s="181"/>
      <c r="I195" s="181"/>
      <c r="J195" s="181"/>
    </row>
    <row r="196" spans="1:10" ht="12.75">
      <c r="A196" s="79" t="s">
        <v>24</v>
      </c>
      <c r="B196" s="148">
        <f t="shared" si="10"/>
        <v>0</v>
      </c>
      <c r="C196" s="149"/>
      <c r="D196" s="149"/>
      <c r="E196" s="149"/>
      <c r="F196" s="152"/>
      <c r="H196" s="181"/>
      <c r="I196" s="181"/>
      <c r="J196" s="181"/>
    </row>
    <row r="197" spans="1:10" ht="12.75">
      <c r="A197" s="79" t="s">
        <v>25</v>
      </c>
      <c r="B197" s="148">
        <f t="shared" si="10"/>
        <v>0</v>
      </c>
      <c r="C197" s="149"/>
      <c r="D197" s="149"/>
      <c r="E197" s="149"/>
      <c r="F197" s="152"/>
      <c r="H197" s="181"/>
      <c r="I197" s="181"/>
      <c r="J197" s="181"/>
    </row>
    <row r="198" spans="1:6" ht="12.75">
      <c r="A198" s="79" t="s">
        <v>26</v>
      </c>
      <c r="B198" s="148">
        <f t="shared" si="10"/>
        <v>0.008</v>
      </c>
      <c r="C198" s="149"/>
      <c r="D198" s="149"/>
      <c r="E198" s="149"/>
      <c r="F198" s="152">
        <v>0.008</v>
      </c>
    </row>
    <row r="199" spans="1:6" ht="13.5">
      <c r="A199" s="83" t="s">
        <v>0</v>
      </c>
      <c r="B199" s="167">
        <f t="shared" si="10"/>
        <v>0.231901</v>
      </c>
      <c r="C199" s="164"/>
      <c r="D199" s="153"/>
      <c r="E199" s="153">
        <v>0.231876</v>
      </c>
      <c r="F199" s="154">
        <v>2.5E-05</v>
      </c>
    </row>
    <row r="200" spans="1:6" ht="13.5">
      <c r="A200" s="82" t="s">
        <v>12</v>
      </c>
      <c r="B200" s="163">
        <f>SUM(C200:F200)</f>
        <v>0.069273</v>
      </c>
      <c r="C200" s="164">
        <f>C201</f>
        <v>0</v>
      </c>
      <c r="D200" s="153">
        <f>D201</f>
        <v>0</v>
      </c>
      <c r="E200" s="153">
        <f>E201</f>
        <v>0.069273</v>
      </c>
      <c r="F200" s="154">
        <f>F201</f>
        <v>0</v>
      </c>
    </row>
    <row r="201" spans="1:6" ht="12.75">
      <c r="A201" s="79" t="s">
        <v>13</v>
      </c>
      <c r="B201" s="148">
        <f>SUM(C201:F201)</f>
        <v>0.069273</v>
      </c>
      <c r="C201" s="149"/>
      <c r="D201" s="150"/>
      <c r="E201" s="150">
        <v>0.069273</v>
      </c>
      <c r="F201" s="151"/>
    </row>
    <row r="202" spans="1:6" ht="13.5" thickBot="1">
      <c r="A202" s="80" t="s">
        <v>14</v>
      </c>
      <c r="B202" s="155">
        <f>SUM(C202:F202)</f>
        <v>0.202</v>
      </c>
      <c r="C202" s="156"/>
      <c r="D202" s="157"/>
      <c r="E202" s="157">
        <v>0.202</v>
      </c>
      <c r="F202" s="158"/>
    </row>
  </sheetData>
  <sheetProtection/>
  <mergeCells count="3">
    <mergeCell ref="B4:F4"/>
    <mergeCell ref="A5:A6"/>
    <mergeCell ref="B5:F5"/>
  </mergeCells>
  <conditionalFormatting sqref="J57">
    <cfRule type="containsText" priority="9" dxfId="273" operator="containsText" text="ложь">
      <formula>NOT(ISERROR(SEARCH("ложь",J57)))</formula>
    </cfRule>
  </conditionalFormatting>
  <conditionalFormatting sqref="I40:I45 I51 I34:I35 H38 I64 I55:I58 H45 H41 I37 J41 J32:J35 J54 J45:J48 H32:H35 I32">
    <cfRule type="containsText" priority="50" dxfId="273" operator="containsText" text="ложь">
      <formula>NOT(ISERROR(SEARCH("ложь",H32)))</formula>
    </cfRule>
  </conditionalFormatting>
  <conditionalFormatting sqref="I47:I48">
    <cfRule type="containsText" priority="49" dxfId="273" operator="containsText" text="ложь">
      <formula>NOT(ISERROR(SEARCH("ложь",I47)))</formula>
    </cfRule>
  </conditionalFormatting>
  <conditionalFormatting sqref="I46">
    <cfRule type="containsText" priority="48" dxfId="273" operator="containsText" text="ложь">
      <formula>NOT(ISERROR(SEARCH("ложь",I46)))</formula>
    </cfRule>
  </conditionalFormatting>
  <conditionalFormatting sqref="I49">
    <cfRule type="containsText" priority="47" dxfId="273" operator="containsText" text="ложь">
      <formula>NOT(ISERROR(SEARCH("ложь",I49)))</formula>
    </cfRule>
  </conditionalFormatting>
  <conditionalFormatting sqref="I50">
    <cfRule type="containsText" priority="46" dxfId="273" operator="containsText" text="ложь">
      <formula>NOT(ISERROR(SEARCH("ложь",I50)))</formula>
    </cfRule>
  </conditionalFormatting>
  <conditionalFormatting sqref="I52 I54">
    <cfRule type="containsText" priority="45" dxfId="273" operator="containsText" text="ложь">
      <formula>NOT(ISERROR(SEARCH("ложь",I52)))</formula>
    </cfRule>
  </conditionalFormatting>
  <conditionalFormatting sqref="I53">
    <cfRule type="containsText" priority="44" dxfId="273" operator="containsText" text="ложь">
      <formula>NOT(ISERROR(SEARCH("ложь",I53)))</formula>
    </cfRule>
  </conditionalFormatting>
  <conditionalFormatting sqref="I33">
    <cfRule type="containsText" priority="43" dxfId="273" operator="containsText" text="ложь">
      <formula>NOT(ISERROR(SEARCH("ложь",I33)))</formula>
    </cfRule>
  </conditionalFormatting>
  <conditionalFormatting sqref="I36">
    <cfRule type="containsText" priority="42" dxfId="273" operator="containsText" text="ложь">
      <formula>NOT(ISERROR(SEARCH("ложь",I36)))</formula>
    </cfRule>
  </conditionalFormatting>
  <conditionalFormatting sqref="I38">
    <cfRule type="containsText" priority="41" dxfId="273" operator="containsText" text="ложь">
      <formula>NOT(ISERROR(SEARCH("ложь",I38)))</formula>
    </cfRule>
  </conditionalFormatting>
  <conditionalFormatting sqref="I39">
    <cfRule type="containsText" priority="40" dxfId="273" operator="containsText" text="ложь">
      <formula>NOT(ISERROR(SEARCH("ложь",I39)))</formula>
    </cfRule>
  </conditionalFormatting>
  <conditionalFormatting sqref="H36">
    <cfRule type="containsText" priority="39" dxfId="273" operator="containsText" text="ложь">
      <formula>NOT(ISERROR(SEARCH("ложь",H36)))</formula>
    </cfRule>
  </conditionalFormatting>
  <conditionalFormatting sqref="I59">
    <cfRule type="containsText" priority="38" dxfId="273" operator="containsText" text="ложь">
      <formula>NOT(ISERROR(SEARCH("ложь",I59)))</formula>
    </cfRule>
  </conditionalFormatting>
  <conditionalFormatting sqref="I60">
    <cfRule type="containsText" priority="37" dxfId="273" operator="containsText" text="ложь">
      <formula>NOT(ISERROR(SEARCH("ложь",I60)))</formula>
    </cfRule>
  </conditionalFormatting>
  <conditionalFormatting sqref="I61">
    <cfRule type="containsText" priority="36" dxfId="273" operator="containsText" text="ложь">
      <formula>NOT(ISERROR(SEARCH("ложь",I61)))</formula>
    </cfRule>
  </conditionalFormatting>
  <conditionalFormatting sqref="I63">
    <cfRule type="containsText" priority="35" dxfId="273" operator="containsText" text="ложь">
      <formula>NOT(ISERROR(SEARCH("ложь",I63)))</formula>
    </cfRule>
  </conditionalFormatting>
  <conditionalFormatting sqref="I62">
    <cfRule type="containsText" priority="34" dxfId="273" operator="containsText" text="ложь">
      <formula>NOT(ISERROR(SEARCH("ложь",I62)))</formula>
    </cfRule>
  </conditionalFormatting>
  <conditionalFormatting sqref="I65">
    <cfRule type="containsText" priority="33" dxfId="273" operator="containsText" text="ложь">
      <formula>NOT(ISERROR(SEARCH("ложь",I65)))</formula>
    </cfRule>
  </conditionalFormatting>
  <conditionalFormatting sqref="I66">
    <cfRule type="containsText" priority="32" dxfId="273" operator="containsText" text="ложь">
      <formula>NOT(ISERROR(SEARCH("ложь",I66)))</formula>
    </cfRule>
  </conditionalFormatting>
  <conditionalFormatting sqref="I67">
    <cfRule type="containsText" priority="31" dxfId="273" operator="containsText" text="ложь">
      <formula>NOT(ISERROR(SEARCH("ложь",I67)))</formula>
    </cfRule>
  </conditionalFormatting>
  <conditionalFormatting sqref="H37">
    <cfRule type="containsText" priority="30" dxfId="273" operator="containsText" text="ложь">
      <formula>NOT(ISERROR(SEARCH("ложь",H37)))</formula>
    </cfRule>
  </conditionalFormatting>
  <conditionalFormatting sqref="H42">
    <cfRule type="containsText" priority="29" dxfId="273" operator="containsText" text="ложь">
      <formula>NOT(ISERROR(SEARCH("ложь",H42)))</formula>
    </cfRule>
  </conditionalFormatting>
  <conditionalFormatting sqref="H39">
    <cfRule type="containsText" priority="28" dxfId="273" operator="containsText" text="ложь">
      <formula>NOT(ISERROR(SEARCH("ложь",H39)))</formula>
    </cfRule>
  </conditionalFormatting>
  <conditionalFormatting sqref="H40">
    <cfRule type="containsText" priority="27" dxfId="273" operator="containsText" text="ложь">
      <formula>NOT(ISERROR(SEARCH("ложь",H40)))</formula>
    </cfRule>
  </conditionalFormatting>
  <conditionalFormatting sqref="H44">
    <cfRule type="containsText" priority="26" dxfId="273" operator="containsText" text="ложь">
      <formula>NOT(ISERROR(SEARCH("ложь",H44)))</formula>
    </cfRule>
  </conditionalFormatting>
  <conditionalFormatting sqref="H43">
    <cfRule type="containsText" priority="25" dxfId="273" operator="containsText" text="ложь">
      <formula>NOT(ISERROR(SEARCH("ложь",H43)))</formula>
    </cfRule>
  </conditionalFormatting>
  <conditionalFormatting sqref="J36">
    <cfRule type="containsText" priority="24" dxfId="273" operator="containsText" text="ложь">
      <formula>NOT(ISERROR(SEARCH("ложь",J36)))</formula>
    </cfRule>
  </conditionalFormatting>
  <conditionalFormatting sqref="J37">
    <cfRule type="containsText" priority="23" dxfId="273" operator="containsText" text="ложь">
      <formula>NOT(ISERROR(SEARCH("ложь",J37)))</formula>
    </cfRule>
  </conditionalFormatting>
  <conditionalFormatting sqref="J38">
    <cfRule type="containsText" priority="22" dxfId="273" operator="containsText" text="ложь">
      <formula>NOT(ISERROR(SEARCH("ложь",J38)))</formula>
    </cfRule>
  </conditionalFormatting>
  <conditionalFormatting sqref="J39">
    <cfRule type="containsText" priority="21" dxfId="273" operator="containsText" text="ложь">
      <formula>NOT(ISERROR(SEARCH("ложь",J39)))</formula>
    </cfRule>
  </conditionalFormatting>
  <conditionalFormatting sqref="J40">
    <cfRule type="containsText" priority="20" dxfId="273" operator="containsText" text="ложь">
      <formula>NOT(ISERROR(SEARCH("ложь",J40)))</formula>
    </cfRule>
  </conditionalFormatting>
  <conditionalFormatting sqref="J42">
    <cfRule type="containsText" priority="19" dxfId="273" operator="containsText" text="ложь">
      <formula>NOT(ISERROR(SEARCH("ложь",J42)))</formula>
    </cfRule>
  </conditionalFormatting>
  <conditionalFormatting sqref="J43">
    <cfRule type="containsText" priority="18" dxfId="273" operator="containsText" text="ложь">
      <formula>NOT(ISERROR(SEARCH("ложь",J43)))</formula>
    </cfRule>
  </conditionalFormatting>
  <conditionalFormatting sqref="J44">
    <cfRule type="containsText" priority="17" dxfId="273" operator="containsText" text="ложь">
      <formula>NOT(ISERROR(SEARCH("ложь",J44)))</formula>
    </cfRule>
  </conditionalFormatting>
  <conditionalFormatting sqref="J49">
    <cfRule type="containsText" priority="16" dxfId="273" operator="containsText" text="ложь">
      <formula>NOT(ISERROR(SEARCH("ложь",J49)))</formula>
    </cfRule>
  </conditionalFormatting>
  <conditionalFormatting sqref="J50">
    <cfRule type="containsText" priority="15" dxfId="273" operator="containsText" text="ложь">
      <formula>NOT(ISERROR(SEARCH("ложь",J50)))</formula>
    </cfRule>
  </conditionalFormatting>
  <conditionalFormatting sqref="J51">
    <cfRule type="containsText" priority="14" dxfId="273" operator="containsText" text="ложь">
      <formula>NOT(ISERROR(SEARCH("ложь",J51)))</formula>
    </cfRule>
  </conditionalFormatting>
  <conditionalFormatting sqref="J52">
    <cfRule type="containsText" priority="13" dxfId="273" operator="containsText" text="ложь">
      <formula>NOT(ISERROR(SEARCH("ложь",J52)))</formula>
    </cfRule>
  </conditionalFormatting>
  <conditionalFormatting sqref="J53">
    <cfRule type="containsText" priority="12" dxfId="273" operator="containsText" text="ложь">
      <formula>NOT(ISERROR(SEARCH("ложь",J53)))</formula>
    </cfRule>
  </conditionalFormatting>
  <conditionalFormatting sqref="J55">
    <cfRule type="containsText" priority="11" dxfId="273" operator="containsText" text="ложь">
      <formula>NOT(ISERROR(SEARCH("ложь",J55)))</formula>
    </cfRule>
  </conditionalFormatting>
  <conditionalFormatting sqref="J56">
    <cfRule type="containsText" priority="10" dxfId="273" operator="containsText" text="ложь">
      <formula>NOT(ISERROR(SEARCH("ложь",J56)))</formula>
    </cfRule>
  </conditionalFormatting>
  <conditionalFormatting sqref="L32:L41">
    <cfRule type="containsText" priority="8" dxfId="273" operator="containsText" text="ложь">
      <formula>NOT(ISERROR(SEARCH("ложь",L32)))</formula>
    </cfRule>
  </conditionalFormatting>
  <conditionalFormatting sqref="C134">
    <cfRule type="containsText" priority="7" dxfId="273" operator="containsText" text="ложь">
      <formula>NOT(ISERROR(SEARCH("ложь",C134)))</formula>
    </cfRule>
  </conditionalFormatting>
  <conditionalFormatting sqref="I186">
    <cfRule type="containsText" priority="6" dxfId="273" operator="containsText" text="ложь">
      <formula>NOT(ISERROR(SEARCH("ложь",I186)))</formula>
    </cfRule>
  </conditionalFormatting>
  <conditionalFormatting sqref="I187">
    <cfRule type="containsText" priority="5" dxfId="273" operator="containsText" text="ложь">
      <formula>NOT(ISERROR(SEARCH("ложь",I187)))</formula>
    </cfRule>
  </conditionalFormatting>
  <conditionalFormatting sqref="I188">
    <cfRule type="containsText" priority="4" dxfId="273" operator="containsText" text="ложь">
      <formula>NOT(ISERROR(SEARCH("ложь",I188)))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zoomScale="86" zoomScaleNormal="86" zoomScalePageLayoutView="0" workbookViewId="0" topLeftCell="A1">
      <selection activeCell="B7" sqref="B7:F25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1.8515625" style="178" customWidth="1"/>
    <col min="8" max="16384" width="9.140625" style="1" customWidth="1"/>
  </cols>
  <sheetData>
    <row r="1" spans="1:7" s="12" customFormat="1" ht="15.75">
      <c r="A1" s="9" t="s">
        <v>43</v>
      </c>
      <c r="B1" s="13"/>
      <c r="C1" s="14"/>
      <c r="D1" s="14"/>
      <c r="E1" s="14"/>
      <c r="F1" s="14"/>
      <c r="G1" s="176"/>
    </row>
    <row r="2" spans="1:7" s="3" customFormat="1" ht="15.75" customHeight="1">
      <c r="A2" s="16" t="s">
        <v>37</v>
      </c>
      <c r="B2" s="11"/>
      <c r="C2" s="11"/>
      <c r="D2" s="11"/>
      <c r="E2" s="11"/>
      <c r="F2" s="11"/>
      <c r="G2" s="176"/>
    </row>
    <row r="3" spans="1:7" s="3" customFormat="1" ht="15.75" customHeight="1" thickBot="1">
      <c r="A3" s="6"/>
      <c r="B3" s="10"/>
      <c r="C3" s="10"/>
      <c r="D3" s="10"/>
      <c r="E3" s="10"/>
      <c r="F3" s="10"/>
      <c r="G3" s="169"/>
    </row>
    <row r="4" spans="1:7" s="2" customFormat="1" ht="15.75" customHeight="1" thickBot="1">
      <c r="A4" s="7"/>
      <c r="B4" s="256" t="s">
        <v>44</v>
      </c>
      <c r="C4" s="257"/>
      <c r="D4" s="257"/>
      <c r="E4" s="257"/>
      <c r="F4" s="258"/>
      <c r="G4" s="177"/>
    </row>
    <row r="5" spans="1:7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  <c r="G5" s="177"/>
    </row>
    <row r="6" spans="1:7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177"/>
    </row>
    <row r="7" spans="1:6" ht="13.5" thickBot="1">
      <c r="A7" s="54" t="s">
        <v>31</v>
      </c>
      <c r="B7" s="44">
        <f aca="true" t="shared" si="0" ref="B7:F19">B31+B47+B60+B73+B86+B99+B112+B125+B138+B151+B164+B177+B190</f>
        <v>113.870336</v>
      </c>
      <c r="C7" s="45">
        <f t="shared" si="0"/>
        <v>34.63605100000001</v>
      </c>
      <c r="D7" s="45">
        <f t="shared" si="0"/>
        <v>1.004505</v>
      </c>
      <c r="E7" s="46">
        <f t="shared" si="0"/>
        <v>32.769826</v>
      </c>
      <c r="F7" s="46">
        <f>F8+F16+F20+F17</f>
        <v>45.459954</v>
      </c>
    </row>
    <row r="8" spans="1:6" ht="13.5">
      <c r="A8" s="55" t="s">
        <v>10</v>
      </c>
      <c r="B8" s="17">
        <f>SUM(C8:F8)</f>
        <v>34.279506000000005</v>
      </c>
      <c r="C8" s="18">
        <f>C9+C10+C11+C12+C13+C14+C15</f>
        <v>0.11276699999999999</v>
      </c>
      <c r="D8" s="18">
        <f>D9+D10+D11+D12+D13+D14+D15</f>
        <v>0.0011</v>
      </c>
      <c r="E8" s="18">
        <f>E9+E10+E11+E12+E13+E14+E15</f>
        <v>2.4098060000000006</v>
      </c>
      <c r="F8" s="19">
        <f>F9+F10+F11+F12+F13+F14+F15</f>
        <v>31.755833000000006</v>
      </c>
    </row>
    <row r="9" spans="1:6" ht="12.75">
      <c r="A9" s="56" t="s">
        <v>4</v>
      </c>
      <c r="B9" s="20">
        <f>SUM(C9:F9)</f>
        <v>12.257335000000001</v>
      </c>
      <c r="C9" s="21">
        <f>C33+C49+C62+C75+C88+C101+C114+C127+C140+C153+C166+C179+C192</f>
        <v>0.008659</v>
      </c>
      <c r="D9" s="21">
        <f t="shared" si="0"/>
        <v>0</v>
      </c>
      <c r="E9" s="21">
        <f t="shared" si="0"/>
        <v>1.0969200000000001</v>
      </c>
      <c r="F9" s="22">
        <f t="shared" si="0"/>
        <v>11.151756</v>
      </c>
    </row>
    <row r="10" spans="1:6" ht="12.75">
      <c r="A10" s="56" t="s">
        <v>11</v>
      </c>
      <c r="B10" s="20">
        <f>SUM(C10:F10)</f>
        <v>0.954961</v>
      </c>
      <c r="C10" s="21">
        <f t="shared" si="0"/>
        <v>0</v>
      </c>
      <c r="D10" s="21">
        <f t="shared" si="0"/>
        <v>0</v>
      </c>
      <c r="E10" s="21">
        <f t="shared" si="0"/>
        <v>0.48680199999999996</v>
      </c>
      <c r="F10" s="22">
        <f t="shared" si="0"/>
        <v>0.468159</v>
      </c>
    </row>
    <row r="11" spans="1:6" ht="12.75">
      <c r="A11" s="56" t="s">
        <v>5</v>
      </c>
      <c r="B11" s="20">
        <f>SUM(C11:F11)</f>
        <v>20.497021000000004</v>
      </c>
      <c r="C11" s="21">
        <f t="shared" si="0"/>
        <v>0.018283</v>
      </c>
      <c r="D11" s="21">
        <f t="shared" si="0"/>
        <v>0</v>
      </c>
      <c r="E11" s="21">
        <f t="shared" si="0"/>
        <v>0.4604</v>
      </c>
      <c r="F11" s="22">
        <f t="shared" si="0"/>
        <v>20.018338000000004</v>
      </c>
    </row>
    <row r="12" spans="1:6" ht="12.75">
      <c r="A12" s="56" t="s">
        <v>23</v>
      </c>
      <c r="B12" s="20">
        <f aca="true" t="shared" si="1" ref="B12:B22">SUM(C12:F12)</f>
        <v>0.002653</v>
      </c>
      <c r="C12" s="21">
        <f t="shared" si="0"/>
        <v>0</v>
      </c>
      <c r="D12" s="21">
        <f t="shared" si="0"/>
        <v>0</v>
      </c>
      <c r="E12" s="21">
        <f t="shared" si="0"/>
        <v>0.002653</v>
      </c>
      <c r="F12" s="22">
        <f t="shared" si="0"/>
        <v>0</v>
      </c>
    </row>
    <row r="13" spans="1:6" ht="12.75">
      <c r="A13" s="56" t="s">
        <v>24</v>
      </c>
      <c r="B13" s="20">
        <f t="shared" si="1"/>
        <v>0.444646</v>
      </c>
      <c r="C13" s="21">
        <f t="shared" si="0"/>
        <v>0</v>
      </c>
      <c r="D13" s="21">
        <f t="shared" si="0"/>
        <v>0</v>
      </c>
      <c r="E13" s="21">
        <f t="shared" si="0"/>
        <v>0.357667</v>
      </c>
      <c r="F13" s="22">
        <f t="shared" si="0"/>
        <v>0.086979</v>
      </c>
    </row>
    <row r="14" spans="1:6" ht="12.75">
      <c r="A14" s="56" t="s">
        <v>25</v>
      </c>
      <c r="B14" s="20">
        <f t="shared" si="1"/>
        <v>0.101052</v>
      </c>
      <c r="C14" s="21">
        <f t="shared" si="0"/>
        <v>0.075265</v>
      </c>
      <c r="D14" s="21">
        <f t="shared" si="0"/>
        <v>0</v>
      </c>
      <c r="E14" s="21">
        <f t="shared" si="0"/>
        <v>0</v>
      </c>
      <c r="F14" s="22">
        <f t="shared" si="0"/>
        <v>0.025786999999999997</v>
      </c>
    </row>
    <row r="15" spans="1:6" ht="12.75">
      <c r="A15" s="56" t="s">
        <v>26</v>
      </c>
      <c r="B15" s="20">
        <f t="shared" si="1"/>
        <v>0.021838000000000003</v>
      </c>
      <c r="C15" s="21">
        <f t="shared" si="0"/>
        <v>0.01056</v>
      </c>
      <c r="D15" s="21">
        <f t="shared" si="0"/>
        <v>0.0011</v>
      </c>
      <c r="E15" s="21">
        <f t="shared" si="0"/>
        <v>0.005364</v>
      </c>
      <c r="F15" s="22">
        <f t="shared" si="0"/>
        <v>0.004814000000000001</v>
      </c>
    </row>
    <row r="16" spans="1:6" ht="13.5">
      <c r="A16" s="55" t="s">
        <v>0</v>
      </c>
      <c r="B16" s="23">
        <f t="shared" si="1"/>
        <v>51.85634499999999</v>
      </c>
      <c r="C16" s="202">
        <f t="shared" si="0"/>
        <v>19.399672000000002</v>
      </c>
      <c r="D16" s="202">
        <f t="shared" si="0"/>
        <v>0.741998</v>
      </c>
      <c r="E16" s="202">
        <f t="shared" si="0"/>
        <v>19.518651999999996</v>
      </c>
      <c r="F16" s="203">
        <f t="shared" si="0"/>
        <v>12.196023</v>
      </c>
    </row>
    <row r="17" spans="1:6" ht="13.5">
      <c r="A17" s="55" t="s">
        <v>12</v>
      </c>
      <c r="B17" s="23">
        <f t="shared" si="1"/>
        <v>26.496929</v>
      </c>
      <c r="C17" s="24">
        <f t="shared" si="0"/>
        <v>13.886056</v>
      </c>
      <c r="D17" s="24">
        <f t="shared" si="0"/>
        <v>0.261407</v>
      </c>
      <c r="E17" s="24">
        <f t="shared" si="0"/>
        <v>10.841368000000001</v>
      </c>
      <c r="F17" s="25">
        <f t="shared" si="0"/>
        <v>1.5080980000000002</v>
      </c>
    </row>
    <row r="18" spans="1:6" ht="13.5">
      <c r="A18" s="56" t="s">
        <v>13</v>
      </c>
      <c r="B18" s="204">
        <f t="shared" si="1"/>
        <v>26.496929</v>
      </c>
      <c r="C18" s="24">
        <f t="shared" si="0"/>
        <v>13.886056</v>
      </c>
      <c r="D18" s="24">
        <f t="shared" si="0"/>
        <v>0.261407</v>
      </c>
      <c r="E18" s="24">
        <f t="shared" si="0"/>
        <v>10.841368000000001</v>
      </c>
      <c r="F18" s="25">
        <f t="shared" si="0"/>
        <v>1.5080980000000002</v>
      </c>
    </row>
    <row r="19" spans="1:6" ht="12.75">
      <c r="A19" s="57" t="s">
        <v>14</v>
      </c>
      <c r="B19" s="58">
        <f>SUM(C19:F19)</f>
        <v>43.044999999999995</v>
      </c>
      <c r="C19" s="21">
        <f t="shared" si="0"/>
        <v>22.082</v>
      </c>
      <c r="D19" s="21">
        <f t="shared" si="0"/>
        <v>0.461</v>
      </c>
      <c r="E19" s="21">
        <f t="shared" si="0"/>
        <v>17.98</v>
      </c>
      <c r="F19" s="22">
        <f t="shared" si="0"/>
        <v>2.522</v>
      </c>
    </row>
    <row r="20" spans="1:6" ht="13.5">
      <c r="A20" s="55" t="s">
        <v>15</v>
      </c>
      <c r="B20" s="23">
        <f t="shared" si="1"/>
        <v>1.237556</v>
      </c>
      <c r="C20" s="24">
        <f>C21</f>
        <v>1.237556</v>
      </c>
      <c r="D20" s="26"/>
      <c r="E20" s="26"/>
      <c r="F20" s="27"/>
    </row>
    <row r="21" spans="1:6" ht="12.75">
      <c r="A21" s="56" t="s">
        <v>13</v>
      </c>
      <c r="B21" s="20">
        <f t="shared" si="1"/>
        <v>1.237556</v>
      </c>
      <c r="C21" s="21">
        <f>C45</f>
        <v>1.237556</v>
      </c>
      <c r="D21" s="28"/>
      <c r="E21" s="28"/>
      <c r="F21" s="29"/>
    </row>
    <row r="22" spans="1:6" ht="12.75">
      <c r="A22" s="60" t="s">
        <v>16</v>
      </c>
      <c r="B22" s="58">
        <f t="shared" si="1"/>
        <v>2.63</v>
      </c>
      <c r="C22" s="59">
        <f>C46</f>
        <v>2.63</v>
      </c>
      <c r="D22" s="30"/>
      <c r="E22" s="30"/>
      <c r="F22" s="31"/>
    </row>
    <row r="23" spans="1:6" ht="13.5">
      <c r="A23" s="55" t="s">
        <v>32</v>
      </c>
      <c r="B23" s="23">
        <f>SUM(C23:F23)</f>
        <v>2.964251</v>
      </c>
      <c r="C23" s="24">
        <f>C24</f>
        <v>2.964251</v>
      </c>
      <c r="D23" s="26">
        <f>D24</f>
        <v>0</v>
      </c>
      <c r="E23" s="26">
        <f>E24</f>
        <v>0</v>
      </c>
      <c r="F23" s="27">
        <f>F24</f>
        <v>0</v>
      </c>
    </row>
    <row r="24" spans="1:6" ht="12.75">
      <c r="A24" s="56" t="s">
        <v>13</v>
      </c>
      <c r="B24" s="20">
        <f>SUM(C24:F24)</f>
        <v>2.964251</v>
      </c>
      <c r="C24" s="21">
        <f>C58</f>
        <v>2.964251</v>
      </c>
      <c r="D24" s="28"/>
      <c r="E24" s="28"/>
      <c r="F24" s="29"/>
    </row>
    <row r="25" spans="1:6" ht="13.5" thickBot="1">
      <c r="A25" s="61" t="s">
        <v>14</v>
      </c>
      <c r="B25" s="32">
        <f>SUM(C25:F25)</f>
        <v>6.42</v>
      </c>
      <c r="C25" s="62">
        <f>C59</f>
        <v>6.42</v>
      </c>
      <c r="D25" s="33"/>
      <c r="E25" s="33"/>
      <c r="F25" s="34"/>
    </row>
    <row r="26" spans="1:6" ht="13.5" hidden="1" thickBot="1">
      <c r="A26" s="88"/>
      <c r="B26" s="89"/>
      <c r="C26" s="90"/>
      <c r="D26" s="91"/>
      <c r="E26" s="91"/>
      <c r="F26" s="92"/>
    </row>
    <row r="27" spans="1:6" ht="13.5" hidden="1" thickBot="1">
      <c r="A27" s="93"/>
      <c r="B27" s="94"/>
      <c r="C27" s="95"/>
      <c r="D27" s="96"/>
      <c r="E27" s="96"/>
      <c r="F27" s="97"/>
    </row>
    <row r="28" spans="1:6" ht="14.25" hidden="1" thickBot="1">
      <c r="A28" s="98"/>
      <c r="B28" s="99"/>
      <c r="C28" s="100"/>
      <c r="D28" s="101"/>
      <c r="E28" s="101"/>
      <c r="F28" s="102"/>
    </row>
    <row r="29" spans="1:6" ht="15.75" hidden="1" thickBot="1">
      <c r="A29" s="103"/>
      <c r="B29" s="104"/>
      <c r="C29" s="105"/>
      <c r="D29" s="106"/>
      <c r="E29" s="107"/>
      <c r="F29" s="108"/>
    </row>
    <row r="30" spans="1:6" ht="13.5" hidden="1" thickBot="1">
      <c r="A30" s="109"/>
      <c r="B30" s="110"/>
      <c r="C30" s="111"/>
      <c r="D30" s="112"/>
      <c r="E30" s="112"/>
      <c r="F30" s="113"/>
    </row>
    <row r="31" spans="1:6" ht="15" customHeight="1" thickBot="1">
      <c r="A31" s="63" t="s">
        <v>39</v>
      </c>
      <c r="B31" s="114">
        <f aca="true" t="shared" si="2" ref="B31:B41">SUM(C31:F31)</f>
        <v>68.126273</v>
      </c>
      <c r="C31" s="115">
        <f>C32+C40+C44+C41</f>
        <v>17.112984</v>
      </c>
      <c r="D31" s="115">
        <f>D32+D40+D44+D41</f>
        <v>0.9761960000000001</v>
      </c>
      <c r="E31" s="115">
        <f>E32+E40+E44+E41</f>
        <v>19.965153</v>
      </c>
      <c r="F31" s="116">
        <f>F32+F40+F44+F41</f>
        <v>30.071939999999998</v>
      </c>
    </row>
    <row r="32" spans="1:6" ht="13.5">
      <c r="A32" s="55" t="s">
        <v>10</v>
      </c>
      <c r="B32" s="117">
        <f t="shared" si="2"/>
        <v>21.328536</v>
      </c>
      <c r="C32" s="118">
        <f>C33+C34+C35+C36+C37+C38+C39</f>
        <v>0.036087</v>
      </c>
      <c r="D32" s="119">
        <f>D33+D34+D35+D36+D37+D38+D39</f>
        <v>0.0011</v>
      </c>
      <c r="E32" s="119">
        <f>E33+E34+E35+E36+E37+E38+E39</f>
        <v>0.8313470000000001</v>
      </c>
      <c r="F32" s="120">
        <f>F33+F34+F35+F36+F37+F38+F39</f>
        <v>20.460002</v>
      </c>
    </row>
    <row r="33" spans="1:6" ht="12.75">
      <c r="A33" s="56" t="s">
        <v>4</v>
      </c>
      <c r="B33" s="121">
        <f t="shared" si="2"/>
        <v>5.321439</v>
      </c>
      <c r="C33" s="122">
        <v>0.008659</v>
      </c>
      <c r="D33" s="122"/>
      <c r="E33" s="122">
        <f>0.182781+0.022148</f>
        <v>0.204929</v>
      </c>
      <c r="F33" s="123">
        <f>5.097002+0.010849</f>
        <v>5.107851</v>
      </c>
    </row>
    <row r="34" spans="1:6" ht="12.75">
      <c r="A34" s="56" t="s">
        <v>11</v>
      </c>
      <c r="B34" s="121">
        <f t="shared" si="2"/>
        <v>0.073924</v>
      </c>
      <c r="C34" s="122"/>
      <c r="D34" s="122"/>
      <c r="E34" s="122">
        <f>0.01464</f>
        <v>0.01464</v>
      </c>
      <c r="F34" s="123">
        <f>0.05675+0.002534</f>
        <v>0.059284</v>
      </c>
    </row>
    <row r="35" spans="1:6" ht="12.75">
      <c r="A35" s="56" t="s">
        <v>5</v>
      </c>
      <c r="B35" s="121">
        <f t="shared" si="2"/>
        <v>15.616518</v>
      </c>
      <c r="C35" s="122">
        <f>0.01785+0.000433</f>
        <v>0.018283</v>
      </c>
      <c r="D35" s="122"/>
      <c r="E35" s="122">
        <f>0.323372+0.073091</f>
        <v>0.396463</v>
      </c>
      <c r="F35" s="123">
        <f>15.187944+0.013828</f>
        <v>15.201772</v>
      </c>
    </row>
    <row r="36" spans="1:6" ht="12.75">
      <c r="A36" s="56" t="s">
        <v>23</v>
      </c>
      <c r="B36" s="121">
        <f t="shared" si="2"/>
        <v>0.002653</v>
      </c>
      <c r="C36" s="122"/>
      <c r="D36" s="122"/>
      <c r="E36" s="122">
        <v>0.002653</v>
      </c>
      <c r="F36" s="123"/>
    </row>
    <row r="37" spans="1:6" ht="12.75">
      <c r="A37" s="56" t="s">
        <v>24</v>
      </c>
      <c r="B37" s="121">
        <f t="shared" si="2"/>
        <v>0.293447</v>
      </c>
      <c r="C37" s="122"/>
      <c r="D37" s="122"/>
      <c r="E37" s="122">
        <v>0.209296</v>
      </c>
      <c r="F37" s="123">
        <v>0.084151</v>
      </c>
    </row>
    <row r="38" spans="1:6" ht="12.75">
      <c r="A38" s="56" t="s">
        <v>25</v>
      </c>
      <c r="B38" s="121">
        <f t="shared" si="2"/>
        <v>0.006654</v>
      </c>
      <c r="C38" s="122"/>
      <c r="D38" s="122"/>
      <c r="E38" s="122"/>
      <c r="F38" s="123">
        <v>0.006654</v>
      </c>
    </row>
    <row r="39" spans="1:6" ht="12.75">
      <c r="A39" s="56" t="s">
        <v>26</v>
      </c>
      <c r="B39" s="121">
        <f t="shared" si="2"/>
        <v>0.013901000000000002</v>
      </c>
      <c r="C39" s="122">
        <v>0.009145</v>
      </c>
      <c r="D39" s="122">
        <v>0.0011</v>
      </c>
      <c r="E39" s="122">
        <v>0.003366</v>
      </c>
      <c r="F39" s="123">
        <v>0.00029</v>
      </c>
    </row>
    <row r="40" spans="1:6" ht="13.5">
      <c r="A40" s="55" t="s">
        <v>0</v>
      </c>
      <c r="B40" s="124">
        <f t="shared" si="2"/>
        <v>30.677752</v>
      </c>
      <c r="C40" s="127">
        <f>8.596083+1.848846</f>
        <v>10.444929</v>
      </c>
      <c r="D40" s="127">
        <f>0.583406+0.130283</f>
        <v>0.713689</v>
      </c>
      <c r="E40" s="127">
        <f>9.038559+1.895427</f>
        <v>10.933985999999999</v>
      </c>
      <c r="F40" s="128">
        <f>7.753676+0.831472</f>
        <v>8.585148</v>
      </c>
    </row>
    <row r="41" spans="1:6" ht="13.5">
      <c r="A41" s="55" t="s">
        <v>12</v>
      </c>
      <c r="B41" s="124">
        <f t="shared" si="2"/>
        <v>14.882429</v>
      </c>
      <c r="C41" s="127">
        <f>C42</f>
        <v>5.394412</v>
      </c>
      <c r="D41" s="127">
        <f>D42</f>
        <v>0.261407</v>
      </c>
      <c r="E41" s="127">
        <f>E42</f>
        <v>8.19982</v>
      </c>
      <c r="F41" s="128">
        <f>F42</f>
        <v>1.02679</v>
      </c>
    </row>
    <row r="42" spans="1:6" ht="12.75">
      <c r="A42" s="56" t="s">
        <v>13</v>
      </c>
      <c r="B42" s="121">
        <f aca="true" t="shared" si="3" ref="B42:B51">SUM(C42:F42)</f>
        <v>14.882429</v>
      </c>
      <c r="C42" s="122">
        <f>4.666621+0.727791</f>
        <v>5.394412</v>
      </c>
      <c r="D42" s="130">
        <v>0.261407</v>
      </c>
      <c r="E42" s="130">
        <v>8.19982</v>
      </c>
      <c r="F42" s="131">
        <v>1.02679</v>
      </c>
    </row>
    <row r="43" spans="1:6" ht="12.75">
      <c r="A43" s="57" t="s">
        <v>14</v>
      </c>
      <c r="B43" s="132">
        <f t="shared" si="3"/>
        <v>24.934</v>
      </c>
      <c r="C43" s="129">
        <f>8.739+1.134</f>
        <v>9.873000000000001</v>
      </c>
      <c r="D43" s="133">
        <v>0.461</v>
      </c>
      <c r="E43" s="133">
        <f>11.705+1.183</f>
        <v>12.888</v>
      </c>
      <c r="F43" s="134">
        <f>1.255+0.457</f>
        <v>1.712</v>
      </c>
    </row>
    <row r="44" spans="1:6" ht="13.5">
      <c r="A44" s="55" t="s">
        <v>15</v>
      </c>
      <c r="B44" s="124">
        <f t="shared" si="3"/>
        <v>1.237556</v>
      </c>
      <c r="C44" s="127">
        <f>C45</f>
        <v>1.237556</v>
      </c>
      <c r="D44" s="125"/>
      <c r="E44" s="125"/>
      <c r="F44" s="135"/>
    </row>
    <row r="45" spans="1:6" ht="12.75">
      <c r="A45" s="56" t="s">
        <v>13</v>
      </c>
      <c r="B45" s="121">
        <f t="shared" si="3"/>
        <v>1.237556</v>
      </c>
      <c r="C45" s="122">
        <v>1.237556</v>
      </c>
      <c r="D45" s="130"/>
      <c r="E45" s="130"/>
      <c r="F45" s="136"/>
    </row>
    <row r="46" spans="1:6" ht="13.5" thickBot="1">
      <c r="A46" s="60" t="s">
        <v>14</v>
      </c>
      <c r="B46" s="137">
        <f t="shared" si="3"/>
        <v>2.63</v>
      </c>
      <c r="C46" s="138">
        <v>2.63</v>
      </c>
      <c r="D46" s="139"/>
      <c r="E46" s="139"/>
      <c r="F46" s="140"/>
    </row>
    <row r="47" spans="1:6" ht="13.5" thickBot="1">
      <c r="A47" s="72" t="s">
        <v>42</v>
      </c>
      <c r="B47" s="141">
        <f t="shared" si="3"/>
        <v>2.964251</v>
      </c>
      <c r="C47" s="142">
        <f>C48+C56+C57</f>
        <v>2.964251</v>
      </c>
      <c r="D47" s="142">
        <f>D48+D56+D57</f>
        <v>0</v>
      </c>
      <c r="E47" s="142">
        <f>E48+E56+E57</f>
        <v>0</v>
      </c>
      <c r="F47" s="143">
        <f>F48+F56+F57</f>
        <v>0</v>
      </c>
    </row>
    <row r="48" spans="1:6" ht="13.5">
      <c r="A48" s="55" t="s">
        <v>10</v>
      </c>
      <c r="B48" s="144">
        <f t="shared" si="3"/>
        <v>0</v>
      </c>
      <c r="C48" s="145">
        <f>C49+C50+C51+C52+C53+C54+C55</f>
        <v>0</v>
      </c>
      <c r="D48" s="146">
        <f>D49+D50+D51+D52+D53+D54+D55</f>
        <v>0</v>
      </c>
      <c r="E48" s="146">
        <f>E49+E50+E51+E52+E53+E54+E55</f>
        <v>0</v>
      </c>
      <c r="F48" s="147">
        <f>F49+F50+F51+F52+F53+F54+F55</f>
        <v>0</v>
      </c>
    </row>
    <row r="49" spans="1:6" ht="12.75">
      <c r="A49" s="56" t="s">
        <v>4</v>
      </c>
      <c r="B49" s="148">
        <f t="shared" si="3"/>
        <v>0</v>
      </c>
      <c r="C49" s="149"/>
      <c r="D49" s="150"/>
      <c r="E49" s="150"/>
      <c r="F49" s="151"/>
    </row>
    <row r="50" spans="1:6" ht="12.75">
      <c r="A50" s="56" t="s">
        <v>17</v>
      </c>
      <c r="B50" s="148">
        <f t="shared" si="3"/>
        <v>0</v>
      </c>
      <c r="C50" s="149"/>
      <c r="D50" s="150"/>
      <c r="E50" s="150"/>
      <c r="F50" s="151"/>
    </row>
    <row r="51" spans="1:6" ht="12.75">
      <c r="A51" s="56" t="s">
        <v>5</v>
      </c>
      <c r="B51" s="148">
        <f t="shared" si="3"/>
        <v>0</v>
      </c>
      <c r="C51" s="149"/>
      <c r="D51" s="150"/>
      <c r="E51" s="150"/>
      <c r="F51" s="151"/>
    </row>
    <row r="52" spans="1:6" ht="12.75">
      <c r="A52" s="56" t="s">
        <v>23</v>
      </c>
      <c r="B52" s="148">
        <f aca="true" t="shared" si="4" ref="B52:B59">SUM(C52:F52)</f>
        <v>0</v>
      </c>
      <c r="C52" s="149"/>
      <c r="D52" s="149"/>
      <c r="E52" s="149"/>
      <c r="F52" s="152"/>
    </row>
    <row r="53" spans="1:6" ht="12.75">
      <c r="A53" s="56" t="s">
        <v>24</v>
      </c>
      <c r="B53" s="148">
        <f t="shared" si="4"/>
        <v>0</v>
      </c>
      <c r="C53" s="149"/>
      <c r="D53" s="149"/>
      <c r="E53" s="149"/>
      <c r="F53" s="152"/>
    </row>
    <row r="54" spans="1:6" ht="12.75">
      <c r="A54" s="56" t="s">
        <v>25</v>
      </c>
      <c r="B54" s="148">
        <f t="shared" si="4"/>
        <v>0</v>
      </c>
      <c r="C54" s="149"/>
      <c r="D54" s="149"/>
      <c r="E54" s="149"/>
      <c r="F54" s="152"/>
    </row>
    <row r="55" spans="1:6" ht="12.75">
      <c r="A55" s="56" t="s">
        <v>26</v>
      </c>
      <c r="B55" s="148">
        <f t="shared" si="4"/>
        <v>0</v>
      </c>
      <c r="C55" s="149"/>
      <c r="D55" s="149"/>
      <c r="E55" s="149"/>
      <c r="F55" s="152"/>
    </row>
    <row r="56" spans="1:6" ht="13.5">
      <c r="A56" s="55" t="s">
        <v>0</v>
      </c>
      <c r="B56" s="144">
        <f t="shared" si="4"/>
        <v>0</v>
      </c>
      <c r="C56" s="145"/>
      <c r="D56" s="146"/>
      <c r="E56" s="153"/>
      <c r="F56" s="154"/>
    </row>
    <row r="57" spans="1:6" ht="13.5">
      <c r="A57" s="55" t="s">
        <v>12</v>
      </c>
      <c r="B57" s="144">
        <f t="shared" si="4"/>
        <v>2.964251</v>
      </c>
      <c r="C57" s="145">
        <f>C58</f>
        <v>2.964251</v>
      </c>
      <c r="D57" s="146">
        <f>D58</f>
        <v>0</v>
      </c>
      <c r="E57" s="146">
        <f>E58</f>
        <v>0</v>
      </c>
      <c r="F57" s="147">
        <f>F58</f>
        <v>0</v>
      </c>
    </row>
    <row r="58" spans="1:6" ht="12.75">
      <c r="A58" s="56" t="s">
        <v>13</v>
      </c>
      <c r="B58" s="148">
        <f t="shared" si="4"/>
        <v>2.964251</v>
      </c>
      <c r="C58" s="149">
        <v>2.964251</v>
      </c>
      <c r="D58" s="150"/>
      <c r="E58" s="150"/>
      <c r="F58" s="151"/>
    </row>
    <row r="59" spans="1:6" ht="13.5" thickBot="1">
      <c r="A59" s="73" t="s">
        <v>14</v>
      </c>
      <c r="B59" s="155">
        <f t="shared" si="4"/>
        <v>6.42</v>
      </c>
      <c r="C59" s="156">
        <v>6.42</v>
      </c>
      <c r="D59" s="157"/>
      <c r="E59" s="157"/>
      <c r="F59" s="158"/>
    </row>
    <row r="60" spans="1:6" ht="13.5" thickBot="1">
      <c r="A60" s="72" t="s">
        <v>27</v>
      </c>
      <c r="B60" s="141">
        <f aca="true" t="shared" si="5" ref="B60:B77">SUM(C60:F60)</f>
        <v>13.753416000000001</v>
      </c>
      <c r="C60" s="142">
        <f>C61+C69+C70</f>
        <v>6.503205</v>
      </c>
      <c r="D60" s="142">
        <f>D61+D69+D70</f>
        <v>0.028309</v>
      </c>
      <c r="E60" s="142">
        <f>E61+E69+E70</f>
        <v>3.679133</v>
      </c>
      <c r="F60" s="143">
        <f>F61+F69+F70</f>
        <v>3.5427690000000003</v>
      </c>
    </row>
    <row r="61" spans="1:6" ht="13.5">
      <c r="A61" s="78" t="s">
        <v>10</v>
      </c>
      <c r="B61" s="159">
        <f t="shared" si="5"/>
        <v>2.687222</v>
      </c>
      <c r="C61" s="160">
        <f>C62+C63+C64+C65+C66+C67+C68</f>
        <v>0</v>
      </c>
      <c r="D61" s="161">
        <f>D62+D63+D64+D65+D66+D67+D68</f>
        <v>0</v>
      </c>
      <c r="E61" s="161">
        <f>E62+E63+E64+E65+E66+E67+E68</f>
        <v>0.17715599999999998</v>
      </c>
      <c r="F61" s="162">
        <f>F62+F63+F64+F65+F66+F67+F68</f>
        <v>2.510066</v>
      </c>
    </row>
    <row r="62" spans="1:6" ht="12.75">
      <c r="A62" s="79" t="s">
        <v>4</v>
      </c>
      <c r="B62" s="148">
        <f t="shared" si="5"/>
        <v>2.488228</v>
      </c>
      <c r="C62" s="149"/>
      <c r="D62" s="149"/>
      <c r="E62" s="149">
        <v>0.15888</v>
      </c>
      <c r="F62" s="152">
        <v>2.329348</v>
      </c>
    </row>
    <row r="63" spans="1:6" ht="12.75">
      <c r="A63" s="79" t="s">
        <v>17</v>
      </c>
      <c r="B63" s="148">
        <f t="shared" si="5"/>
        <v>0.112133</v>
      </c>
      <c r="C63" s="149"/>
      <c r="D63" s="150"/>
      <c r="E63" s="149">
        <v>0</v>
      </c>
      <c r="F63" s="152">
        <v>0.112133</v>
      </c>
    </row>
    <row r="64" spans="1:6" ht="12.75">
      <c r="A64" s="79" t="s">
        <v>5</v>
      </c>
      <c r="B64" s="148">
        <f t="shared" si="5"/>
        <v>0.086861</v>
      </c>
      <c r="C64" s="149"/>
      <c r="D64" s="150"/>
      <c r="E64" s="149">
        <v>0.018276</v>
      </c>
      <c r="F64" s="152">
        <v>0.068585</v>
      </c>
    </row>
    <row r="65" spans="1:6" ht="12.75">
      <c r="A65" s="79" t="s">
        <v>23</v>
      </c>
      <c r="B65" s="148">
        <f t="shared" si="5"/>
        <v>0</v>
      </c>
      <c r="C65" s="149"/>
      <c r="D65" s="149"/>
      <c r="E65" s="149"/>
      <c r="F65" s="152"/>
    </row>
    <row r="66" spans="1:6" ht="13.5" customHeight="1">
      <c r="A66" s="79" t="s">
        <v>24</v>
      </c>
      <c r="B66" s="148">
        <f t="shared" si="5"/>
        <v>0</v>
      </c>
      <c r="C66" s="149"/>
      <c r="D66" s="149"/>
      <c r="E66" s="149"/>
      <c r="F66" s="152"/>
    </row>
    <row r="67" spans="1:6" ht="13.5" customHeight="1">
      <c r="A67" s="79" t="s">
        <v>25</v>
      </c>
      <c r="B67" s="148">
        <f t="shared" si="5"/>
        <v>0</v>
      </c>
      <c r="C67" s="149"/>
      <c r="D67" s="149"/>
      <c r="E67" s="149"/>
      <c r="F67" s="152"/>
    </row>
    <row r="68" spans="1:6" ht="13.5" customHeight="1">
      <c r="A68" s="79" t="s">
        <v>26</v>
      </c>
      <c r="B68" s="148">
        <f t="shared" si="5"/>
        <v>0</v>
      </c>
      <c r="C68" s="149"/>
      <c r="D68" s="149"/>
      <c r="E68" s="149"/>
      <c r="F68" s="152"/>
    </row>
    <row r="69" spans="1:6" ht="13.5" customHeight="1">
      <c r="A69" s="78" t="s">
        <v>0</v>
      </c>
      <c r="B69" s="144">
        <f t="shared" si="5"/>
        <v>5.9219040000000005</v>
      </c>
      <c r="C69" s="145">
        <v>3.044681</v>
      </c>
      <c r="D69" s="146">
        <v>0.028309</v>
      </c>
      <c r="E69" s="153">
        <v>1.850823</v>
      </c>
      <c r="F69" s="154">
        <v>0.998091</v>
      </c>
    </row>
    <row r="70" spans="1:6" ht="13.5" customHeight="1">
      <c r="A70" s="78" t="s">
        <v>34</v>
      </c>
      <c r="B70" s="144">
        <f t="shared" si="5"/>
        <v>5.144290000000001</v>
      </c>
      <c r="C70" s="145">
        <f>C71</f>
        <v>3.458524</v>
      </c>
      <c r="D70" s="146">
        <f>D71</f>
        <v>0</v>
      </c>
      <c r="E70" s="146">
        <f>E71</f>
        <v>1.651154</v>
      </c>
      <c r="F70" s="147">
        <f>F71</f>
        <v>0.034612</v>
      </c>
    </row>
    <row r="71" spans="1:6" ht="13.5" customHeight="1">
      <c r="A71" s="79" t="s">
        <v>13</v>
      </c>
      <c r="B71" s="148">
        <f t="shared" si="5"/>
        <v>5.144290000000001</v>
      </c>
      <c r="C71" s="145">
        <v>3.458524</v>
      </c>
      <c r="D71" s="146"/>
      <c r="E71" s="153">
        <v>1.651154</v>
      </c>
      <c r="F71" s="154">
        <v>0.034612</v>
      </c>
    </row>
    <row r="72" spans="1:6" ht="13.5" customHeight="1" thickBot="1">
      <c r="A72" s="80" t="s">
        <v>14</v>
      </c>
      <c r="B72" s="155">
        <f t="shared" si="5"/>
        <v>7.873</v>
      </c>
      <c r="C72" s="156">
        <v>4.246</v>
      </c>
      <c r="D72" s="157"/>
      <c r="E72" s="157">
        <v>3.567</v>
      </c>
      <c r="F72" s="158">
        <v>0.06</v>
      </c>
    </row>
    <row r="73" spans="1:6" ht="18" customHeight="1" hidden="1" thickBot="1">
      <c r="A73" s="72" t="s">
        <v>33</v>
      </c>
      <c r="B73" s="141">
        <f t="shared" si="5"/>
        <v>0</v>
      </c>
      <c r="C73" s="142">
        <f>C74+C82+C83</f>
        <v>0</v>
      </c>
      <c r="D73" s="142">
        <f>D74+D82+D83</f>
        <v>0</v>
      </c>
      <c r="E73" s="142">
        <f>E74+E82+E83</f>
        <v>0</v>
      </c>
      <c r="F73" s="143">
        <f>F74+F82+F83</f>
        <v>0</v>
      </c>
    </row>
    <row r="74" spans="1:6" ht="18" customHeight="1" hidden="1" thickBot="1">
      <c r="A74" s="78" t="s">
        <v>10</v>
      </c>
      <c r="B74" s="144">
        <f t="shared" si="5"/>
        <v>0</v>
      </c>
      <c r="C74" s="145">
        <f>C75+C76+C77+C78+C79+C80+C81</f>
        <v>0</v>
      </c>
      <c r="D74" s="146">
        <f>D75+D76+D77+D78+D79+D80+D81</f>
        <v>0</v>
      </c>
      <c r="E74" s="146">
        <f>E75+E76+E77+E78+E79+E80+E81</f>
        <v>0</v>
      </c>
      <c r="F74" s="147">
        <f>F75+F76+F77+F78+F79+F80+F81</f>
        <v>0</v>
      </c>
    </row>
    <row r="75" spans="1:6" ht="18" customHeight="1" hidden="1" thickBot="1">
      <c r="A75" s="79" t="s">
        <v>4</v>
      </c>
      <c r="B75" s="148">
        <f t="shared" si="5"/>
        <v>0</v>
      </c>
      <c r="C75" s="149"/>
      <c r="D75" s="150"/>
      <c r="E75" s="150"/>
      <c r="F75" s="151"/>
    </row>
    <row r="76" spans="1:6" ht="18" customHeight="1" hidden="1" thickBot="1">
      <c r="A76" s="79" t="s">
        <v>17</v>
      </c>
      <c r="B76" s="148">
        <f t="shared" si="5"/>
        <v>0</v>
      </c>
      <c r="C76" s="149"/>
      <c r="D76" s="150"/>
      <c r="E76" s="150"/>
      <c r="F76" s="151"/>
    </row>
    <row r="77" spans="1:6" ht="18" customHeight="1" hidden="1" thickBot="1">
      <c r="A77" s="79" t="s">
        <v>5</v>
      </c>
      <c r="B77" s="148">
        <f t="shared" si="5"/>
        <v>0</v>
      </c>
      <c r="C77" s="149"/>
      <c r="D77" s="150"/>
      <c r="E77" s="150"/>
      <c r="F77" s="151"/>
    </row>
    <row r="78" spans="1:6" ht="18" customHeight="1" hidden="1" thickBot="1">
      <c r="A78" s="79" t="s">
        <v>23</v>
      </c>
      <c r="B78" s="148">
        <f aca="true" t="shared" si="6" ref="B78:B85">SUM(C78:F78)</f>
        <v>0</v>
      </c>
      <c r="C78" s="149"/>
      <c r="D78" s="149"/>
      <c r="E78" s="149"/>
      <c r="F78" s="152"/>
    </row>
    <row r="79" spans="1:6" ht="18" customHeight="1" hidden="1" thickBot="1">
      <c r="A79" s="79" t="s">
        <v>24</v>
      </c>
      <c r="B79" s="148">
        <f t="shared" si="6"/>
        <v>0</v>
      </c>
      <c r="C79" s="149"/>
      <c r="D79" s="149"/>
      <c r="E79" s="149"/>
      <c r="F79" s="152"/>
    </row>
    <row r="80" spans="1:6" ht="18" customHeight="1" hidden="1" thickBot="1">
      <c r="A80" s="79" t="s">
        <v>25</v>
      </c>
      <c r="B80" s="148">
        <f t="shared" si="6"/>
        <v>0</v>
      </c>
      <c r="C80" s="149"/>
      <c r="D80" s="149"/>
      <c r="E80" s="149"/>
      <c r="F80" s="152"/>
    </row>
    <row r="81" spans="1:6" ht="13.5" hidden="1" thickBot="1">
      <c r="A81" s="79" t="s">
        <v>26</v>
      </c>
      <c r="B81" s="148">
        <f t="shared" si="6"/>
        <v>0</v>
      </c>
      <c r="C81" s="149"/>
      <c r="D81" s="149"/>
      <c r="E81" s="149"/>
      <c r="F81" s="152"/>
    </row>
    <row r="82" spans="1:6" ht="14.25" hidden="1" thickBot="1">
      <c r="A82" s="78" t="s">
        <v>0</v>
      </c>
      <c r="B82" s="144">
        <f t="shared" si="6"/>
        <v>0</v>
      </c>
      <c r="C82" s="145"/>
      <c r="D82" s="146"/>
      <c r="E82" s="153"/>
      <c r="F82" s="154"/>
    </row>
    <row r="83" spans="1:6" ht="14.25" hidden="1" thickBot="1">
      <c r="A83" s="78" t="s">
        <v>12</v>
      </c>
      <c r="B83" s="144">
        <f t="shared" si="6"/>
        <v>0</v>
      </c>
      <c r="C83" s="145">
        <f>C84</f>
        <v>0</v>
      </c>
      <c r="D83" s="146">
        <f>D84</f>
        <v>0</v>
      </c>
      <c r="E83" s="146">
        <f>E84</f>
        <v>0</v>
      </c>
      <c r="F83" s="147">
        <f>F84</f>
        <v>0</v>
      </c>
    </row>
    <row r="84" spans="1:6" ht="13.5" hidden="1" thickBot="1">
      <c r="A84" s="79" t="s">
        <v>13</v>
      </c>
      <c r="B84" s="148">
        <f t="shared" si="6"/>
        <v>0</v>
      </c>
      <c r="C84" s="149"/>
      <c r="D84" s="150"/>
      <c r="E84" s="150"/>
      <c r="F84" s="151"/>
    </row>
    <row r="85" spans="1:6" ht="13.5" hidden="1" thickBot="1">
      <c r="A85" s="80" t="s">
        <v>14</v>
      </c>
      <c r="B85" s="155">
        <f t="shared" si="6"/>
        <v>0</v>
      </c>
      <c r="C85" s="156"/>
      <c r="D85" s="157"/>
      <c r="E85" s="157"/>
      <c r="F85" s="158"/>
    </row>
    <row r="86" spans="1:6" ht="13.5" thickBot="1">
      <c r="A86" s="72" t="s">
        <v>35</v>
      </c>
      <c r="B86" s="141">
        <f aca="true" t="shared" si="7" ref="B86:B129">SUM(C86:F86)</f>
        <v>3.2517799999999997</v>
      </c>
      <c r="C86" s="142">
        <f>C87+C95+C96</f>
        <v>3.2189069999999997</v>
      </c>
      <c r="D86" s="142">
        <f>D87+D95+D96</f>
        <v>0</v>
      </c>
      <c r="E86" s="142">
        <f>E87+E95+E96</f>
        <v>0</v>
      </c>
      <c r="F86" s="143">
        <f>F87+F95+F96</f>
        <v>0.032873</v>
      </c>
    </row>
    <row r="87" spans="1:6" ht="13.5">
      <c r="A87" s="78" t="s">
        <v>10</v>
      </c>
      <c r="B87" s="144">
        <f t="shared" si="7"/>
        <v>0</v>
      </c>
      <c r="C87" s="145">
        <f>C88+C89+C90+C91+C92+C93+C94</f>
        <v>0</v>
      </c>
      <c r="D87" s="146">
        <f>D88+D89+D90+D91+D92+D93+D94</f>
        <v>0</v>
      </c>
      <c r="E87" s="146">
        <f>E88+E89+E90+E91+E92+E93+E94</f>
        <v>0</v>
      </c>
      <c r="F87" s="147">
        <f>F88+F89+F90+F91+F92+F93+F94</f>
        <v>0</v>
      </c>
    </row>
    <row r="88" spans="1:6" ht="12.75">
      <c r="A88" s="79" t="s">
        <v>4</v>
      </c>
      <c r="B88" s="148">
        <f t="shared" si="7"/>
        <v>0</v>
      </c>
      <c r="C88" s="149"/>
      <c r="D88" s="150"/>
      <c r="E88" s="150"/>
      <c r="F88" s="151"/>
    </row>
    <row r="89" spans="1:6" ht="12.75">
      <c r="A89" s="79" t="s">
        <v>17</v>
      </c>
      <c r="B89" s="148">
        <f t="shared" si="7"/>
        <v>0</v>
      </c>
      <c r="C89" s="149"/>
      <c r="D89" s="150"/>
      <c r="E89" s="150"/>
      <c r="F89" s="151"/>
    </row>
    <row r="90" spans="1:6" ht="12.75">
      <c r="A90" s="79" t="s">
        <v>5</v>
      </c>
      <c r="B90" s="148">
        <f t="shared" si="7"/>
        <v>0</v>
      </c>
      <c r="C90" s="149"/>
      <c r="D90" s="150"/>
      <c r="E90" s="150"/>
      <c r="F90" s="151"/>
    </row>
    <row r="91" spans="1:6" ht="12.75">
      <c r="A91" s="79" t="s">
        <v>23</v>
      </c>
      <c r="B91" s="148">
        <f t="shared" si="7"/>
        <v>0</v>
      </c>
      <c r="C91" s="149"/>
      <c r="D91" s="149"/>
      <c r="E91" s="149"/>
      <c r="F91" s="152"/>
    </row>
    <row r="92" spans="1:6" ht="12.75">
      <c r="A92" s="79" t="s">
        <v>24</v>
      </c>
      <c r="B92" s="148">
        <f t="shared" si="7"/>
        <v>0</v>
      </c>
      <c r="C92" s="149"/>
      <c r="D92" s="149"/>
      <c r="E92" s="149"/>
      <c r="F92" s="152"/>
    </row>
    <row r="93" spans="1:6" ht="12.75">
      <c r="A93" s="79" t="s">
        <v>25</v>
      </c>
      <c r="B93" s="148">
        <f t="shared" si="7"/>
        <v>0</v>
      </c>
      <c r="C93" s="149"/>
      <c r="D93" s="149"/>
      <c r="E93" s="149"/>
      <c r="F93" s="152"/>
    </row>
    <row r="94" spans="1:6" ht="12.75">
      <c r="A94" s="79" t="s">
        <v>26</v>
      </c>
      <c r="B94" s="148">
        <f t="shared" si="7"/>
        <v>0</v>
      </c>
      <c r="C94" s="149"/>
      <c r="D94" s="149"/>
      <c r="E94" s="149"/>
      <c r="F94" s="152"/>
    </row>
    <row r="95" spans="1:6" ht="13.5">
      <c r="A95" s="78" t="s">
        <v>0</v>
      </c>
      <c r="B95" s="144">
        <f t="shared" si="7"/>
        <v>1.2110779999999999</v>
      </c>
      <c r="C95" s="145">
        <v>1.178205</v>
      </c>
      <c r="D95" s="146"/>
      <c r="E95" s="153"/>
      <c r="F95" s="154">
        <v>0.032873</v>
      </c>
    </row>
    <row r="96" spans="1:6" ht="13.5">
      <c r="A96" s="78" t="s">
        <v>12</v>
      </c>
      <c r="B96" s="144">
        <f t="shared" si="7"/>
        <v>2.040702</v>
      </c>
      <c r="C96" s="145">
        <f>C97</f>
        <v>2.040702</v>
      </c>
      <c r="D96" s="146">
        <f>D97</f>
        <v>0</v>
      </c>
      <c r="E96" s="146">
        <f>E97</f>
        <v>0</v>
      </c>
      <c r="F96" s="147">
        <f>F97</f>
        <v>0</v>
      </c>
    </row>
    <row r="97" spans="1:6" ht="12.75">
      <c r="A97" s="79" t="s">
        <v>13</v>
      </c>
      <c r="B97" s="148">
        <f t="shared" si="7"/>
        <v>2.040702</v>
      </c>
      <c r="C97" s="149">
        <v>2.040702</v>
      </c>
      <c r="D97" s="150"/>
      <c r="E97" s="150"/>
      <c r="F97" s="151"/>
    </row>
    <row r="98" spans="1:6" ht="13.5" thickBot="1">
      <c r="A98" s="80" t="s">
        <v>14</v>
      </c>
      <c r="B98" s="155">
        <f t="shared" si="7"/>
        <v>1.495</v>
      </c>
      <c r="C98" s="156">
        <v>1.495</v>
      </c>
      <c r="D98" s="157"/>
      <c r="E98" s="157"/>
      <c r="F98" s="158"/>
    </row>
    <row r="99" spans="1:6" ht="13.5" thickBot="1">
      <c r="A99" s="72" t="s">
        <v>18</v>
      </c>
      <c r="B99" s="141">
        <f t="shared" si="7"/>
        <v>5.910143</v>
      </c>
      <c r="C99" s="142">
        <f>C100+C108+C109</f>
        <v>0.6346290000000001</v>
      </c>
      <c r="D99" s="142">
        <f>D100+D108+D109</f>
        <v>0</v>
      </c>
      <c r="E99" s="142">
        <f>E100+E108+E109</f>
        <v>2.28792</v>
      </c>
      <c r="F99" s="143">
        <f>F100+F108+F109</f>
        <v>2.9875939999999996</v>
      </c>
    </row>
    <row r="100" spans="1:6" ht="13.5">
      <c r="A100" s="78" t="s">
        <v>10</v>
      </c>
      <c r="B100" s="159">
        <f t="shared" si="7"/>
        <v>2.253657</v>
      </c>
      <c r="C100" s="160">
        <f>C101+C102+C103+C104+C106+C107+C105</f>
        <v>0.075265</v>
      </c>
      <c r="D100" s="161">
        <f>D101+D102+D103+D104+D106+D107+D105</f>
        <v>0</v>
      </c>
      <c r="E100" s="161">
        <f>E101+E102+E103+E104+E106+E107+E105</f>
        <v>0.15933</v>
      </c>
      <c r="F100" s="162">
        <f>F101+F102+F103+F104+F106+F107+F105</f>
        <v>2.019062</v>
      </c>
    </row>
    <row r="101" spans="1:6" ht="12.75">
      <c r="A101" s="79" t="s">
        <v>4</v>
      </c>
      <c r="B101" s="148">
        <f t="shared" si="7"/>
        <v>1.437962</v>
      </c>
      <c r="C101" s="149"/>
      <c r="D101" s="150"/>
      <c r="E101" s="150">
        <v>0.022125</v>
      </c>
      <c r="F101" s="151">
        <v>1.415837</v>
      </c>
    </row>
    <row r="102" spans="1:6" ht="12.75">
      <c r="A102" s="79" t="s">
        <v>17</v>
      </c>
      <c r="B102" s="148">
        <f t="shared" si="7"/>
        <v>0</v>
      </c>
      <c r="C102" s="149"/>
      <c r="D102" s="150"/>
      <c r="E102" s="150"/>
      <c r="F102" s="151"/>
    </row>
    <row r="103" spans="1:6" ht="12.75">
      <c r="A103" s="79" t="s">
        <v>5</v>
      </c>
      <c r="B103" s="148">
        <f t="shared" si="7"/>
        <v>0.5935440000000001</v>
      </c>
      <c r="C103" s="149"/>
      <c r="D103" s="150"/>
      <c r="E103" s="150">
        <v>0.0058390000000000004</v>
      </c>
      <c r="F103" s="151">
        <v>0.587705</v>
      </c>
    </row>
    <row r="104" spans="1:6" ht="12.75">
      <c r="A104" s="79" t="s">
        <v>23</v>
      </c>
      <c r="B104" s="148">
        <f t="shared" si="7"/>
        <v>0</v>
      </c>
      <c r="C104" s="149"/>
      <c r="D104" s="149"/>
      <c r="E104" s="150">
        <v>0</v>
      </c>
      <c r="F104" s="151">
        <v>0</v>
      </c>
    </row>
    <row r="105" spans="1:6" ht="12.75">
      <c r="A105" s="79" t="s">
        <v>24</v>
      </c>
      <c r="B105" s="148">
        <f t="shared" si="7"/>
        <v>0.131366</v>
      </c>
      <c r="C105" s="149"/>
      <c r="D105" s="149"/>
      <c r="E105" s="150">
        <v>0.131366</v>
      </c>
      <c r="F105" s="151"/>
    </row>
    <row r="106" spans="1:6" ht="12.75">
      <c r="A106" s="79" t="s">
        <v>25</v>
      </c>
      <c r="B106" s="148">
        <f t="shared" si="7"/>
        <v>0.090785</v>
      </c>
      <c r="C106" s="149">
        <v>0.075265</v>
      </c>
      <c r="D106" s="149"/>
      <c r="E106" s="150"/>
      <c r="F106" s="151">
        <v>0.015519999999999999</v>
      </c>
    </row>
    <row r="107" spans="1:6" ht="12.75">
      <c r="A107" s="79" t="s">
        <v>26</v>
      </c>
      <c r="B107" s="148">
        <f t="shared" si="7"/>
        <v>0</v>
      </c>
      <c r="C107" s="149"/>
      <c r="D107" s="149"/>
      <c r="E107" s="149"/>
      <c r="F107" s="152"/>
    </row>
    <row r="108" spans="1:6" ht="13.5">
      <c r="A108" s="78" t="s">
        <v>0</v>
      </c>
      <c r="B108" s="144">
        <f t="shared" si="7"/>
        <v>3.413817</v>
      </c>
      <c r="C108" s="145">
        <v>0.5593640000000001</v>
      </c>
      <c r="D108" s="146"/>
      <c r="E108" s="145">
        <v>1.994475</v>
      </c>
      <c r="F108" s="191">
        <v>0.8599779999999999</v>
      </c>
    </row>
    <row r="109" spans="1:6" ht="13.5">
      <c r="A109" s="78" t="s">
        <v>12</v>
      </c>
      <c r="B109" s="144">
        <f t="shared" si="7"/>
        <v>0.24266900000000002</v>
      </c>
      <c r="C109" s="145">
        <f>C110</f>
        <v>0</v>
      </c>
      <c r="D109" s="146">
        <f>D110</f>
        <v>0</v>
      </c>
      <c r="E109" s="146">
        <f>E110</f>
        <v>0.134115</v>
      </c>
      <c r="F109" s="147">
        <f>F110</f>
        <v>0.108554</v>
      </c>
    </row>
    <row r="110" spans="1:6" ht="12.75">
      <c r="A110" s="79" t="s">
        <v>13</v>
      </c>
      <c r="B110" s="148">
        <f t="shared" si="7"/>
        <v>0.24266900000000002</v>
      </c>
      <c r="C110" s="149"/>
      <c r="D110" s="150"/>
      <c r="E110" s="150">
        <v>0.134115</v>
      </c>
      <c r="F110" s="151">
        <v>0.108554</v>
      </c>
    </row>
    <row r="111" spans="1:6" ht="13.5" thickBot="1">
      <c r="A111" s="80" t="s">
        <v>14</v>
      </c>
      <c r="B111" s="155">
        <f t="shared" si="7"/>
        <v>0.383</v>
      </c>
      <c r="C111" s="156"/>
      <c r="D111" s="157"/>
      <c r="E111" s="157">
        <v>0.19</v>
      </c>
      <c r="F111" s="158">
        <v>0.193</v>
      </c>
    </row>
    <row r="112" spans="1:6" ht="13.5" thickBot="1">
      <c r="A112" s="72" t="s">
        <v>28</v>
      </c>
      <c r="B112" s="141">
        <f t="shared" si="7"/>
        <v>2.692058</v>
      </c>
      <c r="C112" s="142">
        <f>C113+C121+C122</f>
        <v>1.42594</v>
      </c>
      <c r="D112" s="142">
        <f>D113+D121+D122</f>
        <v>0</v>
      </c>
      <c r="E112" s="142">
        <f>E113+E121+E122</f>
        <v>0.7561629999999999</v>
      </c>
      <c r="F112" s="143">
        <f>F113+F121+F122</f>
        <v>0.509955</v>
      </c>
    </row>
    <row r="113" spans="1:6" ht="13.5">
      <c r="A113" s="78" t="s">
        <v>10</v>
      </c>
      <c r="B113" s="144">
        <f t="shared" si="7"/>
        <v>0.482018</v>
      </c>
      <c r="C113" s="145">
        <f>C114+C115+C116+C117+C118+C119+C120</f>
        <v>0.001415</v>
      </c>
      <c r="D113" s="146">
        <f>D114+D115+D116+D117+D118+D119+D120</f>
        <v>0</v>
      </c>
      <c r="E113" s="146">
        <f>E114+E115+E116+E117+E118+E119+E120</f>
        <v>0</v>
      </c>
      <c r="F113" s="147">
        <f>F114+F115+F116+F117+F118+F119+F120</f>
        <v>0.480603</v>
      </c>
    </row>
    <row r="114" spans="1:6" ht="12.75">
      <c r="A114" s="79" t="s">
        <v>4</v>
      </c>
      <c r="B114" s="148">
        <f t="shared" si="7"/>
        <v>0.470148</v>
      </c>
      <c r="C114" s="149"/>
      <c r="D114" s="150"/>
      <c r="E114" s="150"/>
      <c r="F114" s="151">
        <v>0.470148</v>
      </c>
    </row>
    <row r="115" spans="1:6" ht="12.75">
      <c r="A115" s="79" t="s">
        <v>17</v>
      </c>
      <c r="B115" s="148">
        <f t="shared" si="7"/>
        <v>0.010455</v>
      </c>
      <c r="C115" s="149"/>
      <c r="D115" s="150"/>
      <c r="E115" s="150"/>
      <c r="F115" s="151">
        <v>0.010455</v>
      </c>
    </row>
    <row r="116" spans="1:6" ht="12.75">
      <c r="A116" s="79" t="s">
        <v>5</v>
      </c>
      <c r="B116" s="148">
        <f t="shared" si="7"/>
        <v>0</v>
      </c>
      <c r="C116" s="149"/>
      <c r="D116" s="150"/>
      <c r="E116" s="150"/>
      <c r="F116" s="151"/>
    </row>
    <row r="117" spans="1:6" ht="12.75">
      <c r="A117" s="79" t="s">
        <v>23</v>
      </c>
      <c r="B117" s="148">
        <f t="shared" si="7"/>
        <v>0</v>
      </c>
      <c r="C117" s="149"/>
      <c r="D117" s="149"/>
      <c r="E117" s="149"/>
      <c r="F117" s="152"/>
    </row>
    <row r="118" spans="1:6" ht="12.75">
      <c r="A118" s="79" t="s">
        <v>24</v>
      </c>
      <c r="B118" s="148">
        <f t="shared" si="7"/>
        <v>0</v>
      </c>
      <c r="C118" s="149"/>
      <c r="D118" s="149"/>
      <c r="E118" s="149"/>
      <c r="F118" s="152"/>
    </row>
    <row r="119" spans="1:6" ht="12.75">
      <c r="A119" s="79" t="s">
        <v>25</v>
      </c>
      <c r="B119" s="148">
        <f t="shared" si="7"/>
        <v>0</v>
      </c>
      <c r="C119" s="149"/>
      <c r="D119" s="149"/>
      <c r="E119" s="149"/>
      <c r="F119" s="152"/>
    </row>
    <row r="120" spans="1:6" ht="12.75">
      <c r="A120" s="79" t="s">
        <v>26</v>
      </c>
      <c r="B120" s="148">
        <f t="shared" si="7"/>
        <v>0.001415</v>
      </c>
      <c r="C120" s="149">
        <v>0.001415</v>
      </c>
      <c r="D120" s="149"/>
      <c r="E120" s="149"/>
      <c r="F120" s="152"/>
    </row>
    <row r="121" spans="1:6" ht="13.5">
      <c r="A121" s="78" t="s">
        <v>0</v>
      </c>
      <c r="B121" s="144">
        <f t="shared" si="7"/>
        <v>2.1722230000000002</v>
      </c>
      <c r="C121" s="145">
        <v>1.424525</v>
      </c>
      <c r="D121" s="146"/>
      <c r="E121" s="153">
        <v>0.729293</v>
      </c>
      <c r="F121" s="154">
        <v>0.018405</v>
      </c>
    </row>
    <row r="122" spans="1:6" ht="13.5">
      <c r="A122" s="78" t="s">
        <v>12</v>
      </c>
      <c r="B122" s="144">
        <f t="shared" si="7"/>
        <v>0.037817</v>
      </c>
      <c r="C122" s="145">
        <f>C123</f>
        <v>0</v>
      </c>
      <c r="D122" s="146">
        <f>D123</f>
        <v>0</v>
      </c>
      <c r="E122" s="146">
        <f>E123</f>
        <v>0.02687</v>
      </c>
      <c r="F122" s="147">
        <f>F123</f>
        <v>0.010947</v>
      </c>
    </row>
    <row r="123" spans="1:6" ht="12.75">
      <c r="A123" s="79" t="s">
        <v>13</v>
      </c>
      <c r="B123" s="148">
        <f t="shared" si="7"/>
        <v>0.037817</v>
      </c>
      <c r="C123" s="149"/>
      <c r="D123" s="150"/>
      <c r="E123" s="150">
        <v>0.02687</v>
      </c>
      <c r="F123" s="151">
        <v>0.010947</v>
      </c>
    </row>
    <row r="124" spans="1:6" ht="13.5" thickBot="1">
      <c r="A124" s="80" t="s">
        <v>14</v>
      </c>
      <c r="B124" s="155">
        <f t="shared" si="7"/>
        <v>0.07100000000000001</v>
      </c>
      <c r="C124" s="156"/>
      <c r="D124" s="157"/>
      <c r="E124" s="157">
        <v>0.054</v>
      </c>
      <c r="F124" s="158">
        <v>0.017</v>
      </c>
    </row>
    <row r="125" spans="1:6" ht="13.5" thickBot="1">
      <c r="A125" s="72" t="s">
        <v>19</v>
      </c>
      <c r="B125" s="141">
        <f t="shared" si="7"/>
        <v>4.62455</v>
      </c>
      <c r="C125" s="142">
        <f>C126+C134+C135</f>
        <v>2.776135</v>
      </c>
      <c r="D125" s="142">
        <f>D126+D134+D135</f>
        <v>0</v>
      </c>
      <c r="E125" s="142">
        <f>E126+E134+E135</f>
        <v>1.174021</v>
      </c>
      <c r="F125" s="143">
        <f>F126+F134+F135</f>
        <v>0.674394</v>
      </c>
    </row>
    <row r="126" spans="1:6" ht="13.5">
      <c r="A126" s="78" t="s">
        <v>10</v>
      </c>
      <c r="B126" s="159">
        <f t="shared" si="7"/>
        <v>0.48083699999999996</v>
      </c>
      <c r="C126" s="160">
        <f>C127+C128+C129+C130+C131+C132+C133</f>
        <v>0</v>
      </c>
      <c r="D126" s="161">
        <f>D127+D128+D129+D130+D131+D132+D133</f>
        <v>0</v>
      </c>
      <c r="E126" s="161">
        <f>E127+E128+E129+E130+E131+E132+E133</f>
        <v>0.084331</v>
      </c>
      <c r="F126" s="162">
        <f>F127+F128+F129+F130+F131+F132+F133</f>
        <v>0.39650599999999997</v>
      </c>
    </row>
    <row r="127" spans="1:6" ht="12.75">
      <c r="A127" s="79" t="s">
        <v>4</v>
      </c>
      <c r="B127" s="148">
        <f t="shared" si="7"/>
        <v>0.159099</v>
      </c>
      <c r="C127" s="149"/>
      <c r="D127" s="150"/>
      <c r="E127" s="150">
        <v>0.049945</v>
      </c>
      <c r="F127" s="151">
        <v>0.109154</v>
      </c>
    </row>
    <row r="128" spans="1:6" ht="12.75">
      <c r="A128" s="79" t="s">
        <v>17</v>
      </c>
      <c r="B128" s="148">
        <f t="shared" si="7"/>
        <v>0.041604</v>
      </c>
      <c r="C128" s="149"/>
      <c r="D128" s="150"/>
      <c r="E128" s="150">
        <v>0.030294</v>
      </c>
      <c r="F128" s="151">
        <v>0.01131</v>
      </c>
    </row>
    <row r="129" spans="1:6" ht="12.75">
      <c r="A129" s="79" t="s">
        <v>5</v>
      </c>
      <c r="B129" s="148">
        <f t="shared" si="7"/>
        <v>0.27966599999999997</v>
      </c>
      <c r="C129" s="149"/>
      <c r="D129" s="150"/>
      <c r="E129" s="150">
        <v>0.003624</v>
      </c>
      <c r="F129" s="151">
        <v>0.27604199999999995</v>
      </c>
    </row>
    <row r="130" spans="1:6" ht="12.75">
      <c r="A130" s="79" t="s">
        <v>23</v>
      </c>
      <c r="B130" s="148">
        <f aca="true" t="shared" si="8" ref="B130:B146">SUM(C130:F130)</f>
        <v>0</v>
      </c>
      <c r="C130" s="149"/>
      <c r="D130" s="149"/>
      <c r="E130" s="150"/>
      <c r="F130" s="151"/>
    </row>
    <row r="131" spans="1:6" ht="12.75">
      <c r="A131" s="79" t="s">
        <v>24</v>
      </c>
      <c r="B131" s="148">
        <f t="shared" si="8"/>
        <v>8.5E-05</v>
      </c>
      <c r="C131" s="149"/>
      <c r="D131" s="149"/>
      <c r="E131" s="150">
        <v>8.5E-05</v>
      </c>
      <c r="F131" s="151"/>
    </row>
    <row r="132" spans="1:6" ht="12.75">
      <c r="A132" s="79" t="s">
        <v>25</v>
      </c>
      <c r="B132" s="148">
        <f t="shared" si="8"/>
        <v>0</v>
      </c>
      <c r="C132" s="149"/>
      <c r="D132" s="149"/>
      <c r="E132" s="150"/>
      <c r="F132" s="151"/>
    </row>
    <row r="133" spans="1:6" ht="12.75">
      <c r="A133" s="79" t="s">
        <v>26</v>
      </c>
      <c r="B133" s="148">
        <f t="shared" si="8"/>
        <v>0.000383</v>
      </c>
      <c r="C133" s="149"/>
      <c r="D133" s="149"/>
      <c r="E133" s="150">
        <v>0.000383</v>
      </c>
      <c r="F133" s="151"/>
    </row>
    <row r="134" spans="1:6" ht="13.5">
      <c r="A134" s="78" t="s">
        <v>0</v>
      </c>
      <c r="B134" s="144">
        <f t="shared" si="8"/>
        <v>3.7886569999999997</v>
      </c>
      <c r="C134" s="179">
        <v>2.747968</v>
      </c>
      <c r="D134" s="146"/>
      <c r="E134" s="153">
        <v>0.832406</v>
      </c>
      <c r="F134" s="154">
        <v>0.208283</v>
      </c>
    </row>
    <row r="135" spans="1:6" ht="13.5">
      <c r="A135" s="78" t="s">
        <v>12</v>
      </c>
      <c r="B135" s="144">
        <f t="shared" si="8"/>
        <v>0.35505600000000004</v>
      </c>
      <c r="C135" s="145">
        <f>C136</f>
        <v>0.028167</v>
      </c>
      <c r="D135" s="146">
        <f>D136</f>
        <v>0</v>
      </c>
      <c r="E135" s="146">
        <f>E136</f>
        <v>0.257284</v>
      </c>
      <c r="F135" s="147">
        <f>F136</f>
        <v>0.069605</v>
      </c>
    </row>
    <row r="136" spans="1:6" ht="12.75">
      <c r="A136" s="79" t="s">
        <v>13</v>
      </c>
      <c r="B136" s="148">
        <f t="shared" si="8"/>
        <v>0.35505600000000004</v>
      </c>
      <c r="C136" s="149">
        <v>0.028167</v>
      </c>
      <c r="D136" s="150"/>
      <c r="E136" s="149">
        <v>0.257284</v>
      </c>
      <c r="F136" s="151">
        <v>0.069605</v>
      </c>
    </row>
    <row r="137" spans="1:6" ht="13.5" thickBot="1">
      <c r="A137" s="80" t="s">
        <v>14</v>
      </c>
      <c r="B137" s="155">
        <f t="shared" si="8"/>
        <v>0.555</v>
      </c>
      <c r="C137" s="156">
        <v>0.048</v>
      </c>
      <c r="D137" s="157"/>
      <c r="E137" s="156">
        <v>0.398</v>
      </c>
      <c r="F137" s="158">
        <v>0.109</v>
      </c>
    </row>
    <row r="138" spans="1:6" ht="13.5" thickBot="1">
      <c r="A138" s="72" t="s">
        <v>20</v>
      </c>
      <c r="B138" s="141">
        <f t="shared" si="8"/>
        <v>0.795763</v>
      </c>
      <c r="C138" s="142">
        <f>C139+C147+C148</f>
        <v>0</v>
      </c>
      <c r="D138" s="142">
        <f>D139+D147+D148</f>
        <v>0</v>
      </c>
      <c r="E138" s="142">
        <f>E139+E147+E148</f>
        <v>0.401369</v>
      </c>
      <c r="F138" s="143">
        <f>F139+F147+F148</f>
        <v>0.394394</v>
      </c>
    </row>
    <row r="139" spans="1:6" ht="13.5">
      <c r="A139" s="78" t="s">
        <v>10</v>
      </c>
      <c r="B139" s="159">
        <f t="shared" si="8"/>
        <v>0.28042100000000003</v>
      </c>
      <c r="C139" s="160">
        <f>C140+C141+C142+C143+C144+C145+C146</f>
        <v>0</v>
      </c>
      <c r="D139" s="161">
        <f>D140+D141+D142+D143+D144+D145+D146</f>
        <v>0</v>
      </c>
      <c r="E139" s="161">
        <f>E140+E141+E142+E143+E144+E145+E146</f>
        <v>0.013261</v>
      </c>
      <c r="F139" s="162">
        <f>F140+F141+F142+F143+F144+F145+F146</f>
        <v>0.26716</v>
      </c>
    </row>
    <row r="140" spans="1:6" ht="12.75">
      <c r="A140" s="79" t="s">
        <v>4</v>
      </c>
      <c r="B140" s="148">
        <f t="shared" si="8"/>
        <v>0.226744</v>
      </c>
      <c r="C140" s="149"/>
      <c r="D140" s="149"/>
      <c r="E140" s="149">
        <v>0.013261</v>
      </c>
      <c r="F140" s="152">
        <v>0.213483</v>
      </c>
    </row>
    <row r="141" spans="1:6" ht="12.75">
      <c r="A141" s="79" t="s">
        <v>17</v>
      </c>
      <c r="B141" s="148">
        <f t="shared" si="8"/>
        <v>0</v>
      </c>
      <c r="C141" s="149"/>
      <c r="D141" s="149"/>
      <c r="E141" s="149"/>
      <c r="F141" s="152"/>
    </row>
    <row r="142" spans="1:6" ht="12.75">
      <c r="A142" s="79" t="s">
        <v>5</v>
      </c>
      <c r="B142" s="148">
        <f t="shared" si="8"/>
        <v>0.053677</v>
      </c>
      <c r="C142" s="149"/>
      <c r="D142" s="149"/>
      <c r="E142" s="149"/>
      <c r="F142" s="152">
        <v>0.053677</v>
      </c>
    </row>
    <row r="143" spans="1:6" ht="12.75">
      <c r="A143" s="79" t="s">
        <v>23</v>
      </c>
      <c r="B143" s="148">
        <f t="shared" si="8"/>
        <v>0</v>
      </c>
      <c r="C143" s="149"/>
      <c r="D143" s="149"/>
      <c r="E143" s="149"/>
      <c r="F143" s="152"/>
    </row>
    <row r="144" spans="1:6" ht="12.75">
      <c r="A144" s="79" t="s">
        <v>24</v>
      </c>
      <c r="B144" s="148">
        <f t="shared" si="8"/>
        <v>0</v>
      </c>
      <c r="C144" s="149"/>
      <c r="D144" s="149"/>
      <c r="E144" s="149"/>
      <c r="F144" s="152"/>
    </row>
    <row r="145" spans="1:6" ht="12.75">
      <c r="A145" s="79" t="s">
        <v>25</v>
      </c>
      <c r="B145" s="148">
        <f t="shared" si="8"/>
        <v>0</v>
      </c>
      <c r="C145" s="149"/>
      <c r="D145" s="149"/>
      <c r="E145" s="149"/>
      <c r="F145" s="152"/>
    </row>
    <row r="146" spans="1:6" ht="12.75">
      <c r="A146" s="79" t="s">
        <v>26</v>
      </c>
      <c r="B146" s="148">
        <f t="shared" si="8"/>
        <v>0</v>
      </c>
      <c r="C146" s="149"/>
      <c r="D146" s="149"/>
      <c r="E146" s="149"/>
      <c r="F146" s="152"/>
    </row>
    <row r="147" spans="1:6" ht="13.5">
      <c r="A147" s="78" t="s">
        <v>0</v>
      </c>
      <c r="B147" s="163">
        <f aca="true" t="shared" si="9" ref="B147:B190">SUM(C147:F147)</f>
        <v>0.36947700000000006</v>
      </c>
      <c r="C147" s="164"/>
      <c r="D147" s="164"/>
      <c r="E147" s="164">
        <v>0.242243</v>
      </c>
      <c r="F147" s="165">
        <v>0.127234</v>
      </c>
    </row>
    <row r="148" spans="1:6" ht="13.5">
      <c r="A148" s="78" t="s">
        <v>12</v>
      </c>
      <c r="B148" s="144">
        <f t="shared" si="9"/>
        <v>0.145865</v>
      </c>
      <c r="C148" s="145">
        <f>C149</f>
        <v>0</v>
      </c>
      <c r="D148" s="146">
        <f>D149</f>
        <v>0</v>
      </c>
      <c r="E148" s="146">
        <f>E149</f>
        <v>0.145865</v>
      </c>
      <c r="F148" s="147">
        <f>F149</f>
        <v>0</v>
      </c>
    </row>
    <row r="149" spans="1:6" ht="12.75">
      <c r="A149" s="79" t="s">
        <v>13</v>
      </c>
      <c r="B149" s="148">
        <f t="shared" si="9"/>
        <v>0.145865</v>
      </c>
      <c r="C149" s="149"/>
      <c r="D149" s="150"/>
      <c r="E149" s="150">
        <v>0.145865</v>
      </c>
      <c r="F149" s="151"/>
    </row>
    <row r="150" spans="1:6" ht="13.5" thickBot="1">
      <c r="A150" s="80" t="s">
        <v>14</v>
      </c>
      <c r="B150" s="155">
        <f t="shared" si="9"/>
        <v>0.207</v>
      </c>
      <c r="C150" s="156"/>
      <c r="D150" s="157"/>
      <c r="E150" s="157">
        <v>0.207</v>
      </c>
      <c r="F150" s="158"/>
    </row>
    <row r="151" spans="1:6" ht="13.5" thickBot="1">
      <c r="A151" s="72" t="s">
        <v>21</v>
      </c>
      <c r="B151" s="141">
        <f t="shared" si="9"/>
        <v>2.29359</v>
      </c>
      <c r="C151" s="142">
        <f>C152+C160+C161</f>
        <v>0</v>
      </c>
      <c r="D151" s="142">
        <f>D152+D160+D161</f>
        <v>0</v>
      </c>
      <c r="E151" s="142">
        <f>E152+E160+E161</f>
        <v>1.3372609999999998</v>
      </c>
      <c r="F151" s="143">
        <f>F152+F160+F161</f>
        <v>0.9563290000000001</v>
      </c>
    </row>
    <row r="152" spans="1:6" ht="13.5">
      <c r="A152" s="78" t="s">
        <v>10</v>
      </c>
      <c r="B152" s="144">
        <f t="shared" si="9"/>
        <v>1.053325</v>
      </c>
      <c r="C152" s="145">
        <f>C153+C154+C155+C156+C157+C158+C159</f>
        <v>0</v>
      </c>
      <c r="D152" s="146">
        <f>D153+D154+D155+D156+D157+D158+D159</f>
        <v>0</v>
      </c>
      <c r="E152" s="146">
        <f>E153+E154+E155+E156+E157+E158+E159</f>
        <v>0.372969</v>
      </c>
      <c r="F152" s="147">
        <f>F153+F154+F155+F156+F157+F158+F159</f>
        <v>0.6803560000000001</v>
      </c>
    </row>
    <row r="153" spans="1:6" ht="12.75">
      <c r="A153" s="79" t="s">
        <v>4</v>
      </c>
      <c r="B153" s="148">
        <f t="shared" si="9"/>
        <v>0.623119</v>
      </c>
      <c r="C153" s="149"/>
      <c r="D153" s="150"/>
      <c r="E153" s="150">
        <v>0.20035499999999998</v>
      </c>
      <c r="F153" s="151">
        <v>0.42276400000000003</v>
      </c>
    </row>
    <row r="154" spans="1:6" ht="12.75">
      <c r="A154" s="79" t="s">
        <v>17</v>
      </c>
      <c r="B154" s="148">
        <f t="shared" si="9"/>
        <v>0.24632300000000001</v>
      </c>
      <c r="C154" s="149"/>
      <c r="D154" s="150"/>
      <c r="E154" s="150">
        <v>0.17075</v>
      </c>
      <c r="F154" s="151">
        <v>0.07557299999999999</v>
      </c>
    </row>
    <row r="155" spans="1:6" ht="12.75">
      <c r="A155" s="79" t="s">
        <v>5</v>
      </c>
      <c r="B155" s="148">
        <f t="shared" si="9"/>
        <v>0.179285</v>
      </c>
      <c r="C155" s="149"/>
      <c r="D155" s="150"/>
      <c r="E155" s="150">
        <v>0.0011120000000000001</v>
      </c>
      <c r="F155" s="151">
        <v>0.178173</v>
      </c>
    </row>
    <row r="156" spans="1:6" ht="12.75">
      <c r="A156" s="79" t="s">
        <v>23</v>
      </c>
      <c r="B156" s="148">
        <f t="shared" si="9"/>
        <v>0</v>
      </c>
      <c r="C156" s="149"/>
      <c r="D156" s="149"/>
      <c r="E156" s="150"/>
      <c r="F156" s="151"/>
    </row>
    <row r="157" spans="1:6" ht="12.75">
      <c r="A157" s="79" t="s">
        <v>24</v>
      </c>
      <c r="B157" s="148">
        <f t="shared" si="9"/>
        <v>0</v>
      </c>
      <c r="C157" s="149"/>
      <c r="D157" s="149"/>
      <c r="E157" s="150"/>
      <c r="F157" s="151"/>
    </row>
    <row r="158" spans="1:6" ht="12.75">
      <c r="A158" s="79" t="s">
        <v>25</v>
      </c>
      <c r="B158" s="148">
        <f t="shared" si="9"/>
        <v>0.003613</v>
      </c>
      <c r="C158" s="149"/>
      <c r="D158" s="149"/>
      <c r="E158" s="150"/>
      <c r="F158" s="151">
        <v>0.003613</v>
      </c>
    </row>
    <row r="159" spans="1:6" ht="12.75">
      <c r="A159" s="79" t="s">
        <v>26</v>
      </c>
      <c r="B159" s="148">
        <f t="shared" si="9"/>
        <v>0.000985</v>
      </c>
      <c r="C159" s="149"/>
      <c r="D159" s="149"/>
      <c r="E159" s="150">
        <v>0.000752</v>
      </c>
      <c r="F159" s="151">
        <v>0.00023300000000000003</v>
      </c>
    </row>
    <row r="160" spans="1:6" ht="13.5">
      <c r="A160" s="78" t="s">
        <v>0</v>
      </c>
      <c r="B160" s="144">
        <f t="shared" si="9"/>
        <v>0.934987</v>
      </c>
      <c r="C160" s="145"/>
      <c r="D160" s="146"/>
      <c r="E160" s="153">
        <v>0.728043</v>
      </c>
      <c r="F160" s="154">
        <v>0.206944</v>
      </c>
    </row>
    <row r="161" spans="1:6" ht="13.5">
      <c r="A161" s="78" t="s">
        <v>12</v>
      </c>
      <c r="B161" s="144">
        <f t="shared" si="9"/>
        <v>0.305278</v>
      </c>
      <c r="C161" s="145">
        <f>C162</f>
        <v>0</v>
      </c>
      <c r="D161" s="146">
        <f>D162</f>
        <v>0</v>
      </c>
      <c r="E161" s="146">
        <f>E162</f>
        <v>0.236249</v>
      </c>
      <c r="F161" s="147">
        <f>F162</f>
        <v>0.069029</v>
      </c>
    </row>
    <row r="162" spans="1:6" ht="12.75">
      <c r="A162" s="79" t="s">
        <v>13</v>
      </c>
      <c r="B162" s="148">
        <f t="shared" si="9"/>
        <v>0.305278</v>
      </c>
      <c r="C162" s="149"/>
      <c r="D162" s="150"/>
      <c r="E162" s="150">
        <v>0.236249</v>
      </c>
      <c r="F162" s="151">
        <v>0.069029</v>
      </c>
    </row>
    <row r="163" spans="1:6" ht="13.5" thickBot="1">
      <c r="A163" s="80" t="s">
        <v>14</v>
      </c>
      <c r="B163" s="155">
        <f t="shared" si="9"/>
        <v>0.42000000000000004</v>
      </c>
      <c r="C163" s="156"/>
      <c r="D163" s="157"/>
      <c r="E163" s="157">
        <v>0.322</v>
      </c>
      <c r="F163" s="158">
        <v>0.098</v>
      </c>
    </row>
    <row r="164" spans="1:6" ht="13.5" thickBot="1">
      <c r="A164" s="72" t="s">
        <v>22</v>
      </c>
      <c r="B164" s="141">
        <f t="shared" si="9"/>
        <v>2.869777</v>
      </c>
      <c r="C164" s="142">
        <f>C165+C173+C174</f>
        <v>0</v>
      </c>
      <c r="D164" s="142">
        <f>D165+D173+D174</f>
        <v>0</v>
      </c>
      <c r="E164" s="142">
        <f>E165+E173+E174</f>
        <v>1.706207</v>
      </c>
      <c r="F164" s="143">
        <f>F165+F173+F174</f>
        <v>1.16357</v>
      </c>
    </row>
    <row r="165" spans="1:6" ht="13.5">
      <c r="A165" s="78" t="s">
        <v>10</v>
      </c>
      <c r="B165" s="144">
        <f t="shared" si="9"/>
        <v>1.676272</v>
      </c>
      <c r="C165" s="145">
        <f>C166+C167+C168+C169+C170+C171+C172</f>
        <v>0</v>
      </c>
      <c r="D165" s="146">
        <f>D166+D167+D168+D169+D170+D171+D172</f>
        <v>0</v>
      </c>
      <c r="E165" s="146">
        <f>E166+E167+E168+E169+E170+E171+E172</f>
        <v>0.735664</v>
      </c>
      <c r="F165" s="147">
        <f>F166+F167+F168+F169+F170+F171+F172</f>
        <v>0.9406080000000001</v>
      </c>
    </row>
    <row r="166" spans="1:6" ht="13.5">
      <c r="A166" s="78" t="s">
        <v>4</v>
      </c>
      <c r="B166" s="148">
        <f t="shared" si="9"/>
        <v>1.1431930000000001</v>
      </c>
      <c r="C166" s="149"/>
      <c r="D166" s="150"/>
      <c r="E166" s="150">
        <v>0.44266500000000003</v>
      </c>
      <c r="F166" s="151">
        <v>0.700528</v>
      </c>
    </row>
    <row r="167" spans="1:6" ht="13.5">
      <c r="A167" s="78" t="s">
        <v>17</v>
      </c>
      <c r="B167" s="148">
        <f t="shared" si="9"/>
        <v>0.470522</v>
      </c>
      <c r="C167" s="149"/>
      <c r="D167" s="150"/>
      <c r="E167" s="150">
        <v>0.27111799999999997</v>
      </c>
      <c r="F167" s="151">
        <v>0.199404</v>
      </c>
    </row>
    <row r="168" spans="1:6" ht="13.5">
      <c r="A168" s="78" t="s">
        <v>5</v>
      </c>
      <c r="B168" s="148">
        <f t="shared" si="9"/>
        <v>0.052476999999999996</v>
      </c>
      <c r="C168" s="149"/>
      <c r="D168" s="150"/>
      <c r="E168" s="150">
        <v>0.012092</v>
      </c>
      <c r="F168" s="151">
        <v>0.040385</v>
      </c>
    </row>
    <row r="169" spans="1:6" ht="12.75">
      <c r="A169" s="79" t="s">
        <v>23</v>
      </c>
      <c r="B169" s="148">
        <f t="shared" si="9"/>
        <v>0</v>
      </c>
      <c r="C169" s="149"/>
      <c r="D169" s="149"/>
      <c r="E169" s="149"/>
      <c r="F169" s="152"/>
    </row>
    <row r="170" spans="1:6" ht="12.75">
      <c r="A170" s="79" t="s">
        <v>24</v>
      </c>
      <c r="B170" s="148">
        <f t="shared" si="9"/>
        <v>0.008926</v>
      </c>
      <c r="C170" s="149"/>
      <c r="D170" s="149"/>
      <c r="E170" s="149">
        <v>0.008926</v>
      </c>
      <c r="F170" s="152"/>
    </row>
    <row r="171" spans="1:6" ht="12.75">
      <c r="A171" s="79" t="s">
        <v>25</v>
      </c>
      <c r="B171" s="148">
        <f t="shared" si="9"/>
        <v>0</v>
      </c>
      <c r="C171" s="149"/>
      <c r="D171" s="149"/>
      <c r="E171" s="149"/>
      <c r="F171" s="152"/>
    </row>
    <row r="172" spans="1:6" ht="12.75">
      <c r="A172" s="79" t="s">
        <v>26</v>
      </c>
      <c r="B172" s="148">
        <f t="shared" si="9"/>
        <v>0.0011539999999999999</v>
      </c>
      <c r="C172" s="149"/>
      <c r="D172" s="149"/>
      <c r="E172" s="149">
        <v>0.0008629999999999999</v>
      </c>
      <c r="F172" s="152">
        <v>0.00029099999999999997</v>
      </c>
    </row>
    <row r="173" spans="1:6" ht="13.5">
      <c r="A173" s="78" t="s">
        <v>0</v>
      </c>
      <c r="B173" s="144">
        <f t="shared" si="9"/>
        <v>1.093356</v>
      </c>
      <c r="C173" s="145"/>
      <c r="D173" s="146"/>
      <c r="E173" s="153">
        <v>0.942029</v>
      </c>
      <c r="F173" s="154">
        <v>0.151327</v>
      </c>
    </row>
    <row r="174" spans="1:6" ht="13.5">
      <c r="A174" s="78" t="s">
        <v>12</v>
      </c>
      <c r="B174" s="144">
        <f t="shared" si="9"/>
        <v>0.100149</v>
      </c>
      <c r="C174" s="145">
        <f>C175</f>
        <v>0</v>
      </c>
      <c r="D174" s="146">
        <f>D175</f>
        <v>0</v>
      </c>
      <c r="E174" s="146">
        <f>E175</f>
        <v>0.028514</v>
      </c>
      <c r="F174" s="147">
        <f>F175</f>
        <v>0.071635</v>
      </c>
    </row>
    <row r="175" spans="1:6" ht="12.75">
      <c r="A175" s="79" t="s">
        <v>13</v>
      </c>
      <c r="B175" s="148">
        <f t="shared" si="9"/>
        <v>0.100149</v>
      </c>
      <c r="C175" s="149"/>
      <c r="D175" s="150"/>
      <c r="E175" s="150">
        <v>0.028514</v>
      </c>
      <c r="F175" s="151">
        <v>0.071635</v>
      </c>
    </row>
    <row r="176" spans="1:6" ht="13.5" thickBot="1">
      <c r="A176" s="80" t="s">
        <v>14</v>
      </c>
      <c r="B176" s="155">
        <f t="shared" si="9"/>
        <v>0.188</v>
      </c>
      <c r="C176" s="156"/>
      <c r="D176" s="157"/>
      <c r="E176" s="157">
        <v>0.058</v>
      </c>
      <c r="F176" s="158">
        <v>0.13</v>
      </c>
    </row>
    <row r="177" spans="1:6" ht="13.5" thickBot="1">
      <c r="A177" s="72" t="s">
        <v>36</v>
      </c>
      <c r="B177" s="141">
        <f>SUM(C177:F177)</f>
        <v>6.26987</v>
      </c>
      <c r="C177" s="45">
        <f>C178+C186+C187</f>
        <v>0</v>
      </c>
      <c r="D177" s="45">
        <f>D178+D186+D187</f>
        <v>0</v>
      </c>
      <c r="E177" s="45">
        <f>E178+E186+E187</f>
        <v>1.168674</v>
      </c>
      <c r="F177" s="46">
        <f>F178+F186+F187</f>
        <v>5.101196</v>
      </c>
    </row>
    <row r="178" spans="1:6" ht="13.5">
      <c r="A178" s="78" t="s">
        <v>10</v>
      </c>
      <c r="B178" s="144">
        <f t="shared" si="9"/>
        <v>4.011909999999999</v>
      </c>
      <c r="C178" s="145">
        <f>C179+C180+C181+C182+C183+C184+C185</f>
        <v>0</v>
      </c>
      <c r="D178" s="146">
        <f>D179+D180+D181+D182+D183+D184+D185</f>
        <v>0</v>
      </c>
      <c r="E178" s="146">
        <f>E179+E180+E181+E182+E183+E184+E185</f>
        <v>0.035355</v>
      </c>
      <c r="F178" s="147">
        <f>F179+F180+F181+F182+F183+F184+F185</f>
        <v>3.976555</v>
      </c>
    </row>
    <row r="179" spans="1:6" ht="12.75">
      <c r="A179" s="79" t="s">
        <v>4</v>
      </c>
      <c r="B179" s="148">
        <f t="shared" si="9"/>
        <v>0.366488</v>
      </c>
      <c r="C179" s="149"/>
      <c r="D179" s="150"/>
      <c r="E179" s="150">
        <v>0.00476</v>
      </c>
      <c r="F179" s="151">
        <v>0.361728</v>
      </c>
    </row>
    <row r="180" spans="1:6" ht="12.75">
      <c r="A180" s="79" t="s">
        <v>17</v>
      </c>
      <c r="B180" s="148">
        <f t="shared" si="9"/>
        <v>0</v>
      </c>
      <c r="C180" s="149"/>
      <c r="D180" s="150"/>
      <c r="E180" s="150"/>
      <c r="F180" s="151"/>
    </row>
    <row r="181" spans="1:6" ht="12.75">
      <c r="A181" s="79" t="s">
        <v>5</v>
      </c>
      <c r="B181" s="148">
        <f t="shared" si="9"/>
        <v>3.6346</v>
      </c>
      <c r="C181" s="149"/>
      <c r="D181" s="150"/>
      <c r="E181" s="150">
        <v>0.022601</v>
      </c>
      <c r="F181" s="151">
        <v>3.611999</v>
      </c>
    </row>
    <row r="182" spans="1:6" ht="12.75">
      <c r="A182" s="79" t="s">
        <v>23</v>
      </c>
      <c r="B182" s="148">
        <f t="shared" si="9"/>
        <v>0</v>
      </c>
      <c r="C182" s="149"/>
      <c r="D182" s="149"/>
      <c r="E182" s="149"/>
      <c r="F182" s="152"/>
    </row>
    <row r="183" spans="1:6" ht="12.75">
      <c r="A183" s="79" t="s">
        <v>24</v>
      </c>
      <c r="B183" s="148">
        <f t="shared" si="9"/>
        <v>0.010821999999999998</v>
      </c>
      <c r="C183" s="149"/>
      <c r="D183" s="149"/>
      <c r="E183" s="149">
        <v>0.007994</v>
      </c>
      <c r="F183" s="152">
        <v>0.002828</v>
      </c>
    </row>
    <row r="184" spans="1:6" ht="12.75">
      <c r="A184" s="79" t="s">
        <v>25</v>
      </c>
      <c r="B184" s="148">
        <f t="shared" si="9"/>
        <v>0</v>
      </c>
      <c r="C184" s="149"/>
      <c r="D184" s="149"/>
      <c r="E184" s="190"/>
      <c r="F184" s="188"/>
    </row>
    <row r="185" spans="1:6" ht="12.75">
      <c r="A185" s="79" t="s">
        <v>26</v>
      </c>
      <c r="B185" s="148">
        <f t="shared" si="9"/>
        <v>0</v>
      </c>
      <c r="C185" s="149"/>
      <c r="D185" s="149"/>
      <c r="E185" s="190"/>
      <c r="F185" s="188"/>
    </row>
    <row r="186" spans="1:6" ht="13.5">
      <c r="A186" s="78" t="s">
        <v>0</v>
      </c>
      <c r="B186" s="144">
        <f>SUM(C186:F186)</f>
        <v>2.045738</v>
      </c>
      <c r="C186" s="145"/>
      <c r="D186" s="146"/>
      <c r="E186" s="192">
        <v>1.038023</v>
      </c>
      <c r="F186" s="193">
        <v>1.007715</v>
      </c>
    </row>
    <row r="187" spans="1:6" ht="13.5">
      <c r="A187" s="82" t="s">
        <v>12</v>
      </c>
      <c r="B187" s="163">
        <f t="shared" si="9"/>
        <v>0.21222200000000002</v>
      </c>
      <c r="C187" s="164">
        <f>C188</f>
        <v>0</v>
      </c>
      <c r="D187" s="153">
        <f>D188</f>
        <v>0</v>
      </c>
      <c r="E187" s="153">
        <f>E188</f>
        <v>0.095296</v>
      </c>
      <c r="F187" s="189">
        <f>F188</f>
        <v>0.116926</v>
      </c>
    </row>
    <row r="188" spans="1:6" ht="12.75">
      <c r="A188" s="79" t="s">
        <v>13</v>
      </c>
      <c r="B188" s="148">
        <f t="shared" si="9"/>
        <v>0.21222200000000002</v>
      </c>
      <c r="C188" s="149"/>
      <c r="D188" s="150"/>
      <c r="E188" s="150">
        <v>0.095296</v>
      </c>
      <c r="F188" s="151">
        <v>0.116926</v>
      </c>
    </row>
    <row r="189" spans="1:6" ht="13.5" thickBot="1">
      <c r="A189" s="80" t="s">
        <v>14</v>
      </c>
      <c r="B189" s="155">
        <f t="shared" si="9"/>
        <v>0.364</v>
      </c>
      <c r="C189" s="156"/>
      <c r="D189" s="157"/>
      <c r="E189" s="157">
        <v>0.161</v>
      </c>
      <c r="F189" s="158">
        <v>0.203</v>
      </c>
    </row>
    <row r="190" spans="1:6" ht="13.5" thickBot="1">
      <c r="A190" s="72" t="s">
        <v>30</v>
      </c>
      <c r="B190" s="141">
        <f t="shared" si="9"/>
        <v>0.318865</v>
      </c>
      <c r="C190" s="45">
        <f>C191+C199+C200</f>
        <v>0</v>
      </c>
      <c r="D190" s="45">
        <f>D191+D199+D200</f>
        <v>0</v>
      </c>
      <c r="E190" s="45">
        <f>E191+E199+E200</f>
        <v>0.293925</v>
      </c>
      <c r="F190" s="46">
        <f>F191+F199+F200</f>
        <v>0.02494</v>
      </c>
    </row>
    <row r="191" spans="1:6" ht="13.5">
      <c r="A191" s="78" t="s">
        <v>10</v>
      </c>
      <c r="B191" s="159">
        <f aca="true" t="shared" si="10" ref="B191:B199">SUM(C191:F191)</f>
        <v>0.025308</v>
      </c>
      <c r="C191" s="38">
        <f>C192+C193+C194+C195+C196+C197+C198</f>
        <v>0</v>
      </c>
      <c r="D191" s="39">
        <f>D192+D193+D194+D195+D196+D197+D198</f>
        <v>0</v>
      </c>
      <c r="E191" s="39">
        <f>E192+E193+E194+E195+E196+E197+E198</f>
        <v>0.000393</v>
      </c>
      <c r="F191" s="49">
        <f>F192+F193+F194+F195+F196+F197+F198</f>
        <v>0.024915</v>
      </c>
    </row>
    <row r="192" spans="1:6" ht="12.75">
      <c r="A192" s="79" t="s">
        <v>4</v>
      </c>
      <c r="B192" s="148">
        <f t="shared" si="10"/>
        <v>0.020915</v>
      </c>
      <c r="C192" s="36"/>
      <c r="D192" s="40"/>
      <c r="E192" s="40"/>
      <c r="F192" s="47">
        <v>0.020915</v>
      </c>
    </row>
    <row r="193" spans="1:6" ht="12.75">
      <c r="A193" s="79" t="s">
        <v>17</v>
      </c>
      <c r="B193" s="148">
        <f t="shared" si="10"/>
        <v>0</v>
      </c>
      <c r="C193" s="36"/>
      <c r="D193" s="40"/>
      <c r="E193" s="40"/>
      <c r="F193" s="47"/>
    </row>
    <row r="194" spans="1:6" ht="12.75">
      <c r="A194" s="79" t="s">
        <v>5</v>
      </c>
      <c r="B194" s="148">
        <f t="shared" si="10"/>
        <v>0.000393</v>
      </c>
      <c r="C194" s="36"/>
      <c r="D194" s="40"/>
      <c r="E194" s="40">
        <v>0.000393</v>
      </c>
      <c r="F194" s="47"/>
    </row>
    <row r="195" spans="1:6" ht="12.75">
      <c r="A195" s="79" t="s">
        <v>23</v>
      </c>
      <c r="B195" s="148">
        <f t="shared" si="10"/>
        <v>0</v>
      </c>
      <c r="C195" s="36"/>
      <c r="D195" s="36"/>
      <c r="E195" s="36"/>
      <c r="F195" s="48"/>
    </row>
    <row r="196" spans="1:6" ht="12.75">
      <c r="A196" s="79" t="s">
        <v>24</v>
      </c>
      <c r="B196" s="148">
        <f t="shared" si="10"/>
        <v>0</v>
      </c>
      <c r="C196" s="36"/>
      <c r="D196" s="36"/>
      <c r="E196" s="36"/>
      <c r="F196" s="48"/>
    </row>
    <row r="197" spans="1:6" ht="12.75">
      <c r="A197" s="79" t="s">
        <v>25</v>
      </c>
      <c r="B197" s="148">
        <f t="shared" si="10"/>
        <v>0</v>
      </c>
      <c r="C197" s="36"/>
      <c r="D197" s="36"/>
      <c r="E197" s="36"/>
      <c r="F197" s="48"/>
    </row>
    <row r="198" spans="1:6" ht="12.75">
      <c r="A198" s="79" t="s">
        <v>26</v>
      </c>
      <c r="B198" s="148">
        <f t="shared" si="10"/>
        <v>0.004</v>
      </c>
      <c r="C198" s="36"/>
      <c r="D198" s="36"/>
      <c r="E198" s="36"/>
      <c r="F198" s="48">
        <v>0.004</v>
      </c>
    </row>
    <row r="199" spans="1:6" ht="13.5">
      <c r="A199" s="83" t="s">
        <v>0</v>
      </c>
      <c r="B199" s="167">
        <f t="shared" si="10"/>
        <v>0.227356</v>
      </c>
      <c r="C199" s="38"/>
      <c r="D199" s="39"/>
      <c r="E199" s="26">
        <v>0.227331</v>
      </c>
      <c r="F199" s="27">
        <v>2.5E-05</v>
      </c>
    </row>
    <row r="200" spans="1:6" ht="13.5">
      <c r="A200" s="82" t="s">
        <v>12</v>
      </c>
      <c r="B200" s="163">
        <f>SUM(C200:F200)</f>
        <v>0.066201</v>
      </c>
      <c r="C200" s="38">
        <f>C201</f>
        <v>0</v>
      </c>
      <c r="D200" s="39">
        <f>D201</f>
        <v>0</v>
      </c>
      <c r="E200" s="39">
        <f>E201</f>
        <v>0.066201</v>
      </c>
      <c r="F200" s="49">
        <f>F201</f>
        <v>0</v>
      </c>
    </row>
    <row r="201" spans="1:6" ht="12.75">
      <c r="A201" s="79" t="s">
        <v>13</v>
      </c>
      <c r="B201" s="148">
        <f>SUM(C201:F201)</f>
        <v>0.066201</v>
      </c>
      <c r="C201" s="36"/>
      <c r="D201" s="40"/>
      <c r="E201" s="40">
        <v>0.066201</v>
      </c>
      <c r="F201" s="47"/>
    </row>
    <row r="202" spans="1:6" ht="13.5" thickBot="1">
      <c r="A202" s="80" t="s">
        <v>14</v>
      </c>
      <c r="B202" s="155">
        <f>SUM(C202:F202)</f>
        <v>0.135</v>
      </c>
      <c r="C202" s="42"/>
      <c r="D202" s="43"/>
      <c r="E202" s="43">
        <v>0.135</v>
      </c>
      <c r="F202" s="50"/>
    </row>
  </sheetData>
  <sheetProtection/>
  <mergeCells count="3">
    <mergeCell ref="B4:F4"/>
    <mergeCell ref="A5:A6"/>
    <mergeCell ref="B5:F5"/>
  </mergeCells>
  <conditionalFormatting sqref="C134">
    <cfRule type="containsText" priority="44" dxfId="273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zoomScale="86" zoomScaleNormal="86" zoomScalePageLayoutView="0" workbookViewId="0" topLeftCell="A1">
      <selection activeCell="F36" sqref="F36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1.8515625" style="1" customWidth="1"/>
    <col min="8" max="11" width="9.140625" style="195" customWidth="1"/>
    <col min="12" max="16384" width="9.140625" style="1" customWidth="1"/>
  </cols>
  <sheetData>
    <row r="1" spans="1:11" s="12" customFormat="1" ht="15.75">
      <c r="A1" s="9" t="s">
        <v>45</v>
      </c>
      <c r="B1" s="13"/>
      <c r="C1" s="14"/>
      <c r="D1" s="14"/>
      <c r="E1" s="14"/>
      <c r="F1" s="14"/>
      <c r="G1" s="15"/>
      <c r="H1" s="5"/>
      <c r="I1" s="5"/>
      <c r="J1" s="5"/>
      <c r="K1" s="5"/>
    </row>
    <row r="2" spans="1:11" s="3" customFormat="1" ht="15.75" customHeight="1">
      <c r="A2" s="16" t="s">
        <v>37</v>
      </c>
      <c r="B2" s="11"/>
      <c r="C2" s="11"/>
      <c r="D2" s="11"/>
      <c r="E2" s="11"/>
      <c r="F2" s="11"/>
      <c r="G2" s="15"/>
      <c r="H2" s="4"/>
      <c r="I2" s="4"/>
      <c r="J2" s="4"/>
      <c r="K2" s="4"/>
    </row>
    <row r="3" spans="1:11" s="3" customFormat="1" ht="15.75" customHeight="1" thickBot="1">
      <c r="A3" s="6"/>
      <c r="B3" s="10"/>
      <c r="C3" s="10"/>
      <c r="D3" s="10"/>
      <c r="E3" s="10"/>
      <c r="F3" s="10"/>
      <c r="H3" s="4"/>
      <c r="I3" s="4"/>
      <c r="J3" s="4"/>
      <c r="K3" s="4"/>
    </row>
    <row r="4" spans="1:11" s="2" customFormat="1" ht="15.75" customHeight="1" thickBot="1">
      <c r="A4" s="7"/>
      <c r="B4" s="256" t="s">
        <v>46</v>
      </c>
      <c r="C4" s="257"/>
      <c r="D4" s="257"/>
      <c r="E4" s="257"/>
      <c r="F4" s="258"/>
      <c r="H4" s="196"/>
      <c r="I4" s="196"/>
      <c r="J4" s="196"/>
      <c r="K4" s="196"/>
    </row>
    <row r="5" spans="1:11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  <c r="H5" s="196"/>
      <c r="I5" s="196"/>
      <c r="J5" s="196"/>
      <c r="K5" s="196"/>
    </row>
    <row r="6" spans="1:11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H6" s="196"/>
      <c r="I6" s="196"/>
      <c r="J6" s="196"/>
      <c r="K6" s="196"/>
    </row>
    <row r="7" spans="1:6" ht="13.5" thickBot="1">
      <c r="A7" s="54" t="s">
        <v>31</v>
      </c>
      <c r="B7" s="44">
        <f aca="true" t="shared" si="0" ref="B7:F19">B31+B47+B60+B73+B86+B99+B112+B125+B138+B151+B164+B177+B190</f>
        <v>102.49770730000002</v>
      </c>
      <c r="C7" s="45">
        <f t="shared" si="0"/>
        <v>32.774171</v>
      </c>
      <c r="D7" s="45">
        <f t="shared" si="0"/>
        <v>0.649505</v>
      </c>
      <c r="E7" s="46">
        <f t="shared" si="0"/>
        <v>27.261574999999997</v>
      </c>
      <c r="F7" s="46">
        <f>F8+F16+F20+F17</f>
        <v>41.812456299999994</v>
      </c>
    </row>
    <row r="8" spans="1:6" ht="13.5">
      <c r="A8" s="55" t="s">
        <v>10</v>
      </c>
      <c r="B8" s="17">
        <f>SUM(C8:F8)</f>
        <v>32.364692299999994</v>
      </c>
      <c r="C8" s="18">
        <f>C9+C10+C11+C12+C13+C14+C15</f>
        <v>0.093015</v>
      </c>
      <c r="D8" s="18">
        <f>D9+D10+D11+D12+D13+D14+D15</f>
        <v>0.00195</v>
      </c>
      <c r="E8" s="18">
        <f>E9+E10+E11+E12+E13+E14+E15</f>
        <v>2.074633</v>
      </c>
      <c r="F8" s="19">
        <f>F9+F10+F11+F12+F13+F14+F15</f>
        <v>30.195094299999997</v>
      </c>
    </row>
    <row r="9" spans="1:6" ht="12.75">
      <c r="A9" s="56" t="s">
        <v>4</v>
      </c>
      <c r="B9" s="20">
        <f>SUM(C9:F9)</f>
        <v>12.152185</v>
      </c>
      <c r="C9" s="21">
        <f>C33+C49+C62+C75+C88+C101+C114+C127+C140+C153+C166+C179+C192</f>
        <v>0.007332</v>
      </c>
      <c r="D9" s="21">
        <f t="shared" si="0"/>
        <v>0</v>
      </c>
      <c r="E9" s="21">
        <f t="shared" si="0"/>
        <v>1.013611</v>
      </c>
      <c r="F9" s="22">
        <f t="shared" si="0"/>
        <v>11.131241999999999</v>
      </c>
    </row>
    <row r="10" spans="1:6" ht="12.75">
      <c r="A10" s="56" t="s">
        <v>11</v>
      </c>
      <c r="B10" s="20">
        <f>SUM(C10:F10)</f>
        <v>0.840541</v>
      </c>
      <c r="C10" s="21">
        <f t="shared" si="0"/>
        <v>0</v>
      </c>
      <c r="D10" s="21">
        <f t="shared" si="0"/>
        <v>0</v>
      </c>
      <c r="E10" s="21">
        <f t="shared" si="0"/>
        <v>0.416976</v>
      </c>
      <c r="F10" s="22">
        <f t="shared" si="0"/>
        <v>0.42356499999999997</v>
      </c>
    </row>
    <row r="11" spans="1:6" ht="12.75">
      <c r="A11" s="56" t="s">
        <v>5</v>
      </c>
      <c r="B11" s="20">
        <f>SUM(C11:F11)</f>
        <v>18.9374983</v>
      </c>
      <c r="C11" s="21">
        <f t="shared" si="0"/>
        <v>0.015662</v>
      </c>
      <c r="D11" s="21">
        <f t="shared" si="0"/>
        <v>0.00195</v>
      </c>
      <c r="E11" s="21">
        <f t="shared" si="0"/>
        <v>0.375951</v>
      </c>
      <c r="F11" s="22">
        <f t="shared" si="0"/>
        <v>18.5439353</v>
      </c>
    </row>
    <row r="12" spans="1:6" ht="12.75">
      <c r="A12" s="56" t="s">
        <v>23</v>
      </c>
      <c r="B12" s="20">
        <f aca="true" t="shared" si="1" ref="B12:B22">SUM(C12:F12)</f>
        <v>0.002861</v>
      </c>
      <c r="C12" s="21">
        <f t="shared" si="0"/>
        <v>0</v>
      </c>
      <c r="D12" s="21">
        <f t="shared" si="0"/>
        <v>0</v>
      </c>
      <c r="E12" s="21">
        <f t="shared" si="0"/>
        <v>0.002861</v>
      </c>
      <c r="F12" s="22">
        <f t="shared" si="0"/>
        <v>0</v>
      </c>
    </row>
    <row r="13" spans="1:6" ht="12.75">
      <c r="A13" s="56" t="s">
        <v>24</v>
      </c>
      <c r="B13" s="20">
        <f t="shared" si="1"/>
        <v>0.228176</v>
      </c>
      <c r="C13" s="21">
        <f t="shared" si="0"/>
        <v>0</v>
      </c>
      <c r="D13" s="21">
        <f t="shared" si="0"/>
        <v>0</v>
      </c>
      <c r="E13" s="21">
        <f t="shared" si="0"/>
        <v>0.14768099999999998</v>
      </c>
      <c r="F13" s="22">
        <f t="shared" si="0"/>
        <v>0.08049500000000001</v>
      </c>
    </row>
    <row r="14" spans="1:6" ht="12.75">
      <c r="A14" s="56" t="s">
        <v>25</v>
      </c>
      <c r="B14" s="20">
        <f t="shared" si="1"/>
        <v>0.184638</v>
      </c>
      <c r="C14" s="21">
        <f t="shared" si="0"/>
        <v>0.064367</v>
      </c>
      <c r="D14" s="21">
        <f t="shared" si="0"/>
        <v>0</v>
      </c>
      <c r="E14" s="21">
        <f t="shared" si="0"/>
        <v>0.113387</v>
      </c>
      <c r="F14" s="22">
        <f t="shared" si="0"/>
        <v>0.006884</v>
      </c>
    </row>
    <row r="15" spans="1:6" ht="12.75">
      <c r="A15" s="56" t="s">
        <v>26</v>
      </c>
      <c r="B15" s="20">
        <f t="shared" si="1"/>
        <v>0.018792999999999997</v>
      </c>
      <c r="C15" s="21">
        <f t="shared" si="0"/>
        <v>0.005654</v>
      </c>
      <c r="D15" s="21">
        <f t="shared" si="0"/>
        <v>0</v>
      </c>
      <c r="E15" s="21">
        <f t="shared" si="0"/>
        <v>0.0041659999999999996</v>
      </c>
      <c r="F15" s="22">
        <f t="shared" si="0"/>
        <v>0.008973</v>
      </c>
    </row>
    <row r="16" spans="1:6" ht="13.5">
      <c r="A16" s="55" t="s">
        <v>0</v>
      </c>
      <c r="B16" s="23">
        <f t="shared" si="1"/>
        <v>45.339827</v>
      </c>
      <c r="C16" s="202">
        <f t="shared" si="0"/>
        <v>18.064167</v>
      </c>
      <c r="D16" s="202">
        <f t="shared" si="0"/>
        <v>0.461767</v>
      </c>
      <c r="E16" s="202">
        <f t="shared" si="0"/>
        <v>16.566401999999997</v>
      </c>
      <c r="F16" s="203">
        <f t="shared" si="0"/>
        <v>10.247491000000002</v>
      </c>
    </row>
    <row r="17" spans="1:6" ht="13.5">
      <c r="A17" s="55" t="s">
        <v>12</v>
      </c>
      <c r="B17" s="23">
        <f t="shared" si="1"/>
        <v>23.470315000000003</v>
      </c>
      <c r="C17" s="24">
        <f t="shared" si="0"/>
        <v>13.294116</v>
      </c>
      <c r="D17" s="24">
        <f t="shared" si="0"/>
        <v>0.185788</v>
      </c>
      <c r="E17" s="24">
        <f t="shared" si="0"/>
        <v>8.62054</v>
      </c>
      <c r="F17" s="25">
        <f t="shared" si="0"/>
        <v>1.3698709999999998</v>
      </c>
    </row>
    <row r="18" spans="1:6" ht="13.5">
      <c r="A18" s="56" t="s">
        <v>13</v>
      </c>
      <c r="B18" s="204">
        <f t="shared" si="1"/>
        <v>23.470315000000003</v>
      </c>
      <c r="C18" s="24">
        <f t="shared" si="0"/>
        <v>13.294116</v>
      </c>
      <c r="D18" s="24">
        <f t="shared" si="0"/>
        <v>0.185788</v>
      </c>
      <c r="E18" s="24">
        <f t="shared" si="0"/>
        <v>8.62054</v>
      </c>
      <c r="F18" s="25">
        <f t="shared" si="0"/>
        <v>1.3698709999999998</v>
      </c>
    </row>
    <row r="19" spans="1:6" ht="12.75">
      <c r="A19" s="57" t="s">
        <v>14</v>
      </c>
      <c r="B19" s="58">
        <f>SUM(C19:F19)</f>
        <v>34.33</v>
      </c>
      <c r="C19" s="21">
        <f t="shared" si="0"/>
        <v>17.25</v>
      </c>
      <c r="D19" s="21">
        <f t="shared" si="0"/>
        <v>0.324</v>
      </c>
      <c r="E19" s="21">
        <f t="shared" si="0"/>
        <v>14.359</v>
      </c>
      <c r="F19" s="22">
        <f t="shared" si="0"/>
        <v>2.397</v>
      </c>
    </row>
    <row r="20" spans="1:6" ht="13.5">
      <c r="A20" s="55" t="s">
        <v>15</v>
      </c>
      <c r="B20" s="23">
        <f t="shared" si="1"/>
        <v>1.322873</v>
      </c>
      <c r="C20" s="24">
        <f>C21</f>
        <v>1.322873</v>
      </c>
      <c r="D20" s="26"/>
      <c r="E20" s="26"/>
      <c r="F20" s="27"/>
    </row>
    <row r="21" spans="1:6" ht="12.75">
      <c r="A21" s="56" t="s">
        <v>13</v>
      </c>
      <c r="B21" s="20">
        <f t="shared" si="1"/>
        <v>1.322873</v>
      </c>
      <c r="C21" s="21">
        <f>C45</f>
        <v>1.322873</v>
      </c>
      <c r="D21" s="28"/>
      <c r="E21" s="28"/>
      <c r="F21" s="29"/>
    </row>
    <row r="22" spans="1:6" ht="12.75">
      <c r="A22" s="60" t="s">
        <v>16</v>
      </c>
      <c r="B22" s="58">
        <f t="shared" si="1"/>
        <v>2.695</v>
      </c>
      <c r="C22" s="59">
        <f>C46</f>
        <v>2.695</v>
      </c>
      <c r="D22" s="30"/>
      <c r="E22" s="30"/>
      <c r="F22" s="31"/>
    </row>
    <row r="23" spans="1:6" ht="13.5">
      <c r="A23" s="55" t="s">
        <v>32</v>
      </c>
      <c r="B23" s="23">
        <f>SUM(C23:F23)</f>
        <v>2.646563</v>
      </c>
      <c r="C23" s="24">
        <f>C24</f>
        <v>2.646563</v>
      </c>
      <c r="D23" s="26">
        <f>D24</f>
        <v>0</v>
      </c>
      <c r="E23" s="26">
        <f>E24</f>
        <v>0</v>
      </c>
      <c r="F23" s="27">
        <f>F24</f>
        <v>0</v>
      </c>
    </row>
    <row r="24" spans="1:6" ht="12.75">
      <c r="A24" s="56" t="s">
        <v>13</v>
      </c>
      <c r="B24" s="20">
        <f>SUM(C24:F24)</f>
        <v>2.646563</v>
      </c>
      <c r="C24" s="21">
        <f>C58</f>
        <v>2.646563</v>
      </c>
      <c r="D24" s="28"/>
      <c r="E24" s="28"/>
      <c r="F24" s="29"/>
    </row>
    <row r="25" spans="1:6" ht="13.5" thickBot="1">
      <c r="A25" s="61" t="s">
        <v>14</v>
      </c>
      <c r="B25" s="32">
        <f>SUM(C25:F25)</f>
        <v>6.076</v>
      </c>
      <c r="C25" s="62">
        <f>C59</f>
        <v>6.076</v>
      </c>
      <c r="D25" s="33"/>
      <c r="E25" s="33"/>
      <c r="F25" s="34"/>
    </row>
    <row r="26" spans="1:6" ht="13.5" hidden="1" thickBot="1">
      <c r="A26" s="88"/>
      <c r="B26" s="89"/>
      <c r="C26" s="90"/>
      <c r="D26" s="91"/>
      <c r="E26" s="91"/>
      <c r="F26" s="92"/>
    </row>
    <row r="27" spans="1:6" ht="13.5" hidden="1" thickBot="1">
      <c r="A27" s="93"/>
      <c r="B27" s="94"/>
      <c r="C27" s="95"/>
      <c r="D27" s="96"/>
      <c r="E27" s="96"/>
      <c r="F27" s="97"/>
    </row>
    <row r="28" spans="1:6" ht="14.25" hidden="1" thickBot="1">
      <c r="A28" s="98"/>
      <c r="B28" s="99"/>
      <c r="C28" s="100"/>
      <c r="D28" s="101"/>
      <c r="E28" s="101"/>
      <c r="F28" s="102"/>
    </row>
    <row r="29" spans="1:6" ht="15.75" hidden="1" thickBot="1">
      <c r="A29" s="103"/>
      <c r="B29" s="104"/>
      <c r="C29" s="105"/>
      <c r="D29" s="106"/>
      <c r="E29" s="107"/>
      <c r="F29" s="108"/>
    </row>
    <row r="30" spans="1:6" ht="13.5" hidden="1" thickBot="1">
      <c r="A30" s="109"/>
      <c r="B30" s="110"/>
      <c r="C30" s="111"/>
      <c r="D30" s="112"/>
      <c r="E30" s="112"/>
      <c r="F30" s="113"/>
    </row>
    <row r="31" spans="1:6" ht="15" customHeight="1" thickBot="1">
      <c r="A31" s="63" t="s">
        <v>39</v>
      </c>
      <c r="B31" s="114">
        <f aca="true" t="shared" si="2" ref="B31:B41">SUM(C31:F31)</f>
        <v>60.864639999999994</v>
      </c>
      <c r="C31" s="174">
        <f>C32+C40+C44+C41</f>
        <v>15.746775</v>
      </c>
      <c r="D31" s="174">
        <f>D32+D40+D44+D41</f>
        <v>0.637961</v>
      </c>
      <c r="E31" s="174">
        <f>E32+E40+E44+E41</f>
        <v>17.294908</v>
      </c>
      <c r="F31" s="175">
        <f>F32+F40+F44+F41</f>
        <v>27.184995999999998</v>
      </c>
    </row>
    <row r="32" spans="1:6" ht="13.5">
      <c r="A32" s="55" t="s">
        <v>10</v>
      </c>
      <c r="B32" s="117">
        <f t="shared" si="2"/>
        <v>19.918088</v>
      </c>
      <c r="C32" s="18">
        <f>C33+C34+C35+C36+C37+C38+C39</f>
        <v>0.027894000000000002</v>
      </c>
      <c r="D32" s="172">
        <f>D33+D34+D35+D36+D37+D38+D39</f>
        <v>0.00195</v>
      </c>
      <c r="E32" s="172">
        <f>E33+E34+E35+E36+E37+E38+E39</f>
        <v>0.6782940000000001</v>
      </c>
      <c r="F32" s="173">
        <f>F33+F34+F35+F36+F37+F38+F39</f>
        <v>19.20995</v>
      </c>
    </row>
    <row r="33" spans="1:6" ht="12.75">
      <c r="A33" s="56" t="s">
        <v>4</v>
      </c>
      <c r="B33" s="121">
        <f t="shared" si="2"/>
        <v>5.32765</v>
      </c>
      <c r="C33" s="36">
        <v>0.007332</v>
      </c>
      <c r="D33" s="36"/>
      <c r="E33" s="36">
        <f>0.189037+0.017327</f>
        <v>0.20636400000000002</v>
      </c>
      <c r="F33" s="48">
        <f>5.103753+0.010201</f>
        <v>5.1139540000000006</v>
      </c>
    </row>
    <row r="34" spans="1:6" ht="12.75">
      <c r="A34" s="56" t="s">
        <v>11</v>
      </c>
      <c r="B34" s="121">
        <f t="shared" si="2"/>
        <v>0.06715499999999999</v>
      </c>
      <c r="C34" s="36"/>
      <c r="D34" s="36"/>
      <c r="E34" s="36">
        <v>0.0136</v>
      </c>
      <c r="F34" s="48">
        <f>0.051712+0.001843</f>
        <v>0.053555</v>
      </c>
    </row>
    <row r="35" spans="1:6" ht="12.75">
      <c r="A35" s="56" t="s">
        <v>5</v>
      </c>
      <c r="B35" s="121">
        <f t="shared" si="2"/>
        <v>14.306030000000002</v>
      </c>
      <c r="C35" s="36">
        <f>0.015351+0.000311</f>
        <v>0.015662</v>
      </c>
      <c r="D35" s="36">
        <v>0.00195</v>
      </c>
      <c r="E35" s="36">
        <f>0.271155+0.047904</f>
        <v>0.319059</v>
      </c>
      <c r="F35" s="48">
        <f>13.960371+0.008988</f>
        <v>13.969359</v>
      </c>
    </row>
    <row r="36" spans="1:6" ht="12.75">
      <c r="A36" s="56" t="s">
        <v>23</v>
      </c>
      <c r="B36" s="121">
        <f t="shared" si="2"/>
        <v>0.002861</v>
      </c>
      <c r="C36" s="36"/>
      <c r="D36" s="36"/>
      <c r="E36" s="36">
        <v>0.002861</v>
      </c>
      <c r="F36" s="48"/>
    </row>
    <row r="37" spans="1:6" ht="12.75">
      <c r="A37" s="56" t="s">
        <v>24</v>
      </c>
      <c r="B37" s="121">
        <f t="shared" si="2"/>
        <v>0.19915300000000002</v>
      </c>
      <c r="C37" s="36"/>
      <c r="D37" s="36"/>
      <c r="E37" s="36">
        <v>0.133585</v>
      </c>
      <c r="F37" s="48">
        <v>0.065568</v>
      </c>
    </row>
    <row r="38" spans="1:6" ht="12.75">
      <c r="A38" s="56" t="s">
        <v>25</v>
      </c>
      <c r="B38" s="121">
        <f t="shared" si="2"/>
        <v>0.006884</v>
      </c>
      <c r="C38" s="36"/>
      <c r="D38" s="36"/>
      <c r="E38" s="36"/>
      <c r="F38" s="48">
        <v>0.006884</v>
      </c>
    </row>
    <row r="39" spans="1:6" ht="12.75">
      <c r="A39" s="56" t="s">
        <v>26</v>
      </c>
      <c r="B39" s="121">
        <f t="shared" si="2"/>
        <v>0.008355</v>
      </c>
      <c r="C39" s="36">
        <v>0.0049</v>
      </c>
      <c r="D39" s="36"/>
      <c r="E39" s="36">
        <v>0.002825</v>
      </c>
      <c r="F39" s="48">
        <v>0.00063</v>
      </c>
    </row>
    <row r="40" spans="1:6" ht="13.5">
      <c r="A40" s="55" t="s">
        <v>0</v>
      </c>
      <c r="B40" s="124">
        <f t="shared" si="2"/>
        <v>25.749874999999996</v>
      </c>
      <c r="C40" s="38">
        <f>8.411092+0.593101</f>
        <v>9.004193</v>
      </c>
      <c r="D40" s="39">
        <f>0.385324+0.064899</f>
        <v>0.450223</v>
      </c>
      <c r="E40" s="26">
        <f>8.299449+0.952216</f>
        <v>9.251665</v>
      </c>
      <c r="F40" s="27">
        <f>6.60319+0.440604</f>
        <v>7.043794</v>
      </c>
    </row>
    <row r="41" spans="1:6" ht="13.5">
      <c r="A41" s="55" t="s">
        <v>12</v>
      </c>
      <c r="B41" s="124">
        <f t="shared" si="2"/>
        <v>13.873804</v>
      </c>
      <c r="C41" s="38">
        <f>C42</f>
        <v>5.391814999999999</v>
      </c>
      <c r="D41" s="38">
        <f>D42</f>
        <v>0.185788</v>
      </c>
      <c r="E41" s="38">
        <f>E42</f>
        <v>7.364948999999999</v>
      </c>
      <c r="F41" s="53">
        <f>F42</f>
        <v>0.931252</v>
      </c>
    </row>
    <row r="42" spans="1:6" ht="12.75">
      <c r="A42" s="56" t="s">
        <v>13</v>
      </c>
      <c r="B42" s="121">
        <f aca="true" t="shared" si="3" ref="B42:B51">SUM(C42:F42)</f>
        <v>13.873804</v>
      </c>
      <c r="C42" s="36">
        <f>4.689474+0.702341</f>
        <v>5.391814999999999</v>
      </c>
      <c r="D42" s="40">
        <v>0.185788</v>
      </c>
      <c r="E42" s="40">
        <f>6.684695+0.680254</f>
        <v>7.364948999999999</v>
      </c>
      <c r="F42" s="29">
        <f>0.644535+0.286717</f>
        <v>0.931252</v>
      </c>
    </row>
    <row r="43" spans="1:6" ht="12.75">
      <c r="A43" s="57" t="s">
        <v>14</v>
      </c>
      <c r="B43" s="132">
        <f t="shared" si="3"/>
        <v>19.430999999999997</v>
      </c>
      <c r="C43" s="52">
        <f>3.96+1.256</f>
        <v>5.216</v>
      </c>
      <c r="D43" s="30">
        <v>0.324</v>
      </c>
      <c r="E43" s="30">
        <f>11.091+1.129</f>
        <v>12.219999999999999</v>
      </c>
      <c r="F43" s="31">
        <f>1.242+0.429</f>
        <v>1.671</v>
      </c>
    </row>
    <row r="44" spans="1:6" ht="13.5">
      <c r="A44" s="55" t="s">
        <v>15</v>
      </c>
      <c r="B44" s="124">
        <f t="shared" si="3"/>
        <v>1.322873</v>
      </c>
      <c r="C44" s="38">
        <f>C45</f>
        <v>1.322873</v>
      </c>
      <c r="D44" s="39">
        <f>D45</f>
        <v>0</v>
      </c>
      <c r="E44" s="39">
        <f>E45</f>
        <v>0</v>
      </c>
      <c r="F44" s="49">
        <f>F45</f>
        <v>0</v>
      </c>
    </row>
    <row r="45" spans="1:6" ht="12.75">
      <c r="A45" s="56" t="s">
        <v>13</v>
      </c>
      <c r="B45" s="121">
        <f t="shared" si="3"/>
        <v>1.322873</v>
      </c>
      <c r="C45" s="36">
        <v>1.322873</v>
      </c>
      <c r="D45" s="40"/>
      <c r="E45" s="40"/>
      <c r="F45" s="47"/>
    </row>
    <row r="46" spans="1:6" ht="13.5" thickBot="1">
      <c r="A46" s="60" t="s">
        <v>14</v>
      </c>
      <c r="B46" s="137">
        <f t="shared" si="3"/>
        <v>2.695</v>
      </c>
      <c r="C46" s="42">
        <v>2.695</v>
      </c>
      <c r="D46" s="43"/>
      <c r="E46" s="43"/>
      <c r="F46" s="50"/>
    </row>
    <row r="47" spans="1:6" ht="13.5" thickBot="1">
      <c r="A47" s="72" t="s">
        <v>42</v>
      </c>
      <c r="B47" s="141">
        <f t="shared" si="3"/>
        <v>2.646563</v>
      </c>
      <c r="C47" s="142">
        <f>C48+C56+C57</f>
        <v>2.646563</v>
      </c>
      <c r="D47" s="142">
        <f>D48+D56+D57</f>
        <v>0</v>
      </c>
      <c r="E47" s="142">
        <f>E48+E56+E57</f>
        <v>0</v>
      </c>
      <c r="F47" s="143">
        <f>F48+F56+F57</f>
        <v>0</v>
      </c>
    </row>
    <row r="48" spans="1:6" ht="13.5">
      <c r="A48" s="55" t="s">
        <v>10</v>
      </c>
      <c r="B48" s="144">
        <f t="shared" si="3"/>
        <v>0</v>
      </c>
      <c r="C48" s="145">
        <f>C49+C50+C51+C52+C53+C54+C55</f>
        <v>0</v>
      </c>
      <c r="D48" s="146">
        <f>D49+D50+D51+D52+D53+D54+D55</f>
        <v>0</v>
      </c>
      <c r="E48" s="146">
        <f>E49+E50+E51+E52+E53+E54+E55</f>
        <v>0</v>
      </c>
      <c r="F48" s="147">
        <f>F49+F50+F51+F52+F53+F54+F55</f>
        <v>0</v>
      </c>
    </row>
    <row r="49" spans="1:6" ht="12.75">
      <c r="A49" s="56" t="s">
        <v>4</v>
      </c>
      <c r="B49" s="148">
        <f t="shared" si="3"/>
        <v>0</v>
      </c>
      <c r="C49" s="149"/>
      <c r="D49" s="150"/>
      <c r="E49" s="150"/>
      <c r="F49" s="151"/>
    </row>
    <row r="50" spans="1:6" ht="12.75">
      <c r="A50" s="56" t="s">
        <v>17</v>
      </c>
      <c r="B50" s="148">
        <f t="shared" si="3"/>
        <v>0</v>
      </c>
      <c r="C50" s="149"/>
      <c r="D50" s="150"/>
      <c r="E50" s="150"/>
      <c r="F50" s="151"/>
    </row>
    <row r="51" spans="1:6" ht="12.75">
      <c r="A51" s="56" t="s">
        <v>5</v>
      </c>
      <c r="B51" s="148">
        <f t="shared" si="3"/>
        <v>0</v>
      </c>
      <c r="C51" s="149"/>
      <c r="D51" s="150"/>
      <c r="E51" s="150"/>
      <c r="F51" s="151"/>
    </row>
    <row r="52" spans="1:6" ht="12.75">
      <c r="A52" s="56" t="s">
        <v>23</v>
      </c>
      <c r="B52" s="148">
        <f aca="true" t="shared" si="4" ref="B52:B59">SUM(C52:F52)</f>
        <v>0</v>
      </c>
      <c r="C52" s="149"/>
      <c r="D52" s="149"/>
      <c r="E52" s="149"/>
      <c r="F52" s="152"/>
    </row>
    <row r="53" spans="1:6" ht="12.75">
      <c r="A53" s="56" t="s">
        <v>24</v>
      </c>
      <c r="B53" s="148">
        <f t="shared" si="4"/>
        <v>0</v>
      </c>
      <c r="C53" s="149"/>
      <c r="D53" s="149"/>
      <c r="E53" s="149"/>
      <c r="F53" s="152"/>
    </row>
    <row r="54" spans="1:6" ht="12.75">
      <c r="A54" s="56" t="s">
        <v>25</v>
      </c>
      <c r="B54" s="148">
        <f t="shared" si="4"/>
        <v>0</v>
      </c>
      <c r="C54" s="149"/>
      <c r="D54" s="149"/>
      <c r="E54" s="149"/>
      <c r="F54" s="152"/>
    </row>
    <row r="55" spans="1:6" ht="12.75">
      <c r="A55" s="56" t="s">
        <v>26</v>
      </c>
      <c r="B55" s="148">
        <f t="shared" si="4"/>
        <v>0</v>
      </c>
      <c r="C55" s="149"/>
      <c r="D55" s="149"/>
      <c r="E55" s="149"/>
      <c r="F55" s="152"/>
    </row>
    <row r="56" spans="1:6" ht="13.5">
      <c r="A56" s="55" t="s">
        <v>0</v>
      </c>
      <c r="B56" s="144">
        <f t="shared" si="4"/>
        <v>0</v>
      </c>
      <c r="C56" s="145"/>
      <c r="D56" s="146"/>
      <c r="E56" s="153"/>
      <c r="F56" s="154"/>
    </row>
    <row r="57" spans="1:6" ht="13.5">
      <c r="A57" s="55" t="s">
        <v>12</v>
      </c>
      <c r="B57" s="144">
        <f t="shared" si="4"/>
        <v>2.646563</v>
      </c>
      <c r="C57" s="38">
        <f>C58</f>
        <v>2.646563</v>
      </c>
      <c r="D57" s="39">
        <f>D58</f>
        <v>0</v>
      </c>
      <c r="E57" s="39">
        <f>E58</f>
        <v>0</v>
      </c>
      <c r="F57" s="49">
        <f>F58</f>
        <v>0</v>
      </c>
    </row>
    <row r="58" spans="1:6" ht="12.75">
      <c r="A58" s="56" t="s">
        <v>13</v>
      </c>
      <c r="B58" s="148">
        <f t="shared" si="4"/>
        <v>2.646563</v>
      </c>
      <c r="C58" s="36">
        <v>2.646563</v>
      </c>
      <c r="D58" s="40"/>
      <c r="E58" s="40"/>
      <c r="F58" s="47"/>
    </row>
    <row r="59" spans="1:6" ht="13.5" thickBot="1">
      <c r="A59" s="73" t="s">
        <v>14</v>
      </c>
      <c r="B59" s="155">
        <f t="shared" si="4"/>
        <v>6.076</v>
      </c>
      <c r="C59" s="42">
        <v>6.076</v>
      </c>
      <c r="D59" s="43"/>
      <c r="E59" s="43"/>
      <c r="F59" s="50"/>
    </row>
    <row r="60" spans="1:6" ht="13.5" thickBot="1">
      <c r="A60" s="72" t="s">
        <v>27</v>
      </c>
      <c r="B60" s="141">
        <f aca="true" t="shared" si="5" ref="B60:B77">SUM(C60:F60)</f>
        <v>12.729320000000001</v>
      </c>
      <c r="C60" s="45">
        <f>C61+C69+C70</f>
        <v>7.087496</v>
      </c>
      <c r="D60" s="45">
        <f>D61+D69+D70</f>
        <v>0.011544</v>
      </c>
      <c r="E60" s="45">
        <f>E61+E69+E70</f>
        <v>2.153777</v>
      </c>
      <c r="F60" s="46">
        <f>F61+F69+F70</f>
        <v>3.476503</v>
      </c>
    </row>
    <row r="61" spans="1:6" ht="13.5">
      <c r="A61" s="78" t="s">
        <v>10</v>
      </c>
      <c r="B61" s="159">
        <f t="shared" si="5"/>
        <v>2.692717</v>
      </c>
      <c r="C61" s="18">
        <f>C62+C63+C64+C65+C66+C67+C68</f>
        <v>0</v>
      </c>
      <c r="D61" s="172">
        <f>D62+D63+D64+D65+D66+D67+D68</f>
        <v>0</v>
      </c>
      <c r="E61" s="172">
        <f>E62+E63+E64+E65+E66+E67+E68</f>
        <v>0.161571</v>
      </c>
      <c r="F61" s="173">
        <f>F62+F63+F64+F65+F66+F67+F68</f>
        <v>2.531146</v>
      </c>
    </row>
    <row r="62" spans="1:6" ht="12.75">
      <c r="A62" s="79" t="s">
        <v>4</v>
      </c>
      <c r="B62" s="148">
        <f t="shared" si="5"/>
        <v>2.5273709999999996</v>
      </c>
      <c r="C62" s="36"/>
      <c r="D62" s="36"/>
      <c r="E62" s="36">
        <v>0.148039</v>
      </c>
      <c r="F62" s="48">
        <v>2.379332</v>
      </c>
    </row>
    <row r="63" spans="1:6" ht="12.75">
      <c r="A63" s="79" t="s">
        <v>17</v>
      </c>
      <c r="B63" s="148">
        <f t="shared" si="5"/>
        <v>0.09193699999999999</v>
      </c>
      <c r="C63" s="36"/>
      <c r="D63" s="40"/>
      <c r="E63" s="40"/>
      <c r="F63" s="48">
        <v>0.09193699999999999</v>
      </c>
    </row>
    <row r="64" spans="1:6" ht="12.75">
      <c r="A64" s="79" t="s">
        <v>5</v>
      </c>
      <c r="B64" s="148">
        <f t="shared" si="5"/>
        <v>0.073409</v>
      </c>
      <c r="C64" s="36"/>
      <c r="D64" s="40"/>
      <c r="E64" s="40">
        <v>0.013532</v>
      </c>
      <c r="F64" s="48">
        <v>0.059877</v>
      </c>
    </row>
    <row r="65" spans="1:6" ht="12.75">
      <c r="A65" s="79" t="s">
        <v>23</v>
      </c>
      <c r="B65" s="148">
        <f t="shared" si="5"/>
        <v>0</v>
      </c>
      <c r="C65" s="36"/>
      <c r="D65" s="36"/>
      <c r="E65" s="36"/>
      <c r="F65" s="48"/>
    </row>
    <row r="66" spans="1:6" ht="13.5" customHeight="1">
      <c r="A66" s="79" t="s">
        <v>24</v>
      </c>
      <c r="B66" s="148">
        <f t="shared" si="5"/>
        <v>0</v>
      </c>
      <c r="C66" s="36"/>
      <c r="D66" s="36"/>
      <c r="E66" s="36"/>
      <c r="F66" s="48"/>
    </row>
    <row r="67" spans="1:6" ht="13.5" customHeight="1">
      <c r="A67" s="79" t="s">
        <v>25</v>
      </c>
      <c r="B67" s="148">
        <f t="shared" si="5"/>
        <v>0</v>
      </c>
      <c r="C67" s="36"/>
      <c r="D67" s="36"/>
      <c r="E67" s="36"/>
      <c r="F67" s="48"/>
    </row>
    <row r="68" spans="1:6" ht="13.5" customHeight="1">
      <c r="A68" s="79" t="s">
        <v>26</v>
      </c>
      <c r="B68" s="148">
        <f t="shared" si="5"/>
        <v>0</v>
      </c>
      <c r="C68" s="36"/>
      <c r="D68" s="36"/>
      <c r="E68" s="36"/>
      <c r="F68" s="48"/>
    </row>
    <row r="69" spans="1:6" ht="13.5" customHeight="1">
      <c r="A69" s="78" t="s">
        <v>0</v>
      </c>
      <c r="B69" s="144">
        <f t="shared" si="5"/>
        <v>6.577307</v>
      </c>
      <c r="C69" s="38">
        <v>3.91161</v>
      </c>
      <c r="D69" s="39">
        <v>0.011544</v>
      </c>
      <c r="E69" s="26">
        <v>1.742292</v>
      </c>
      <c r="F69" s="27">
        <v>0.911861</v>
      </c>
    </row>
    <row r="70" spans="1:6" ht="13.5" customHeight="1">
      <c r="A70" s="78" t="s">
        <v>34</v>
      </c>
      <c r="B70" s="144">
        <f t="shared" si="5"/>
        <v>3.459296</v>
      </c>
      <c r="C70" s="38">
        <f>C71</f>
        <v>3.175886</v>
      </c>
      <c r="D70" s="39">
        <f>D71</f>
        <v>0</v>
      </c>
      <c r="E70" s="39">
        <f>E71</f>
        <v>0.249914</v>
      </c>
      <c r="F70" s="49">
        <f>F71</f>
        <v>0.033496</v>
      </c>
    </row>
    <row r="71" spans="1:6" ht="13.5" customHeight="1">
      <c r="A71" s="79" t="s">
        <v>13</v>
      </c>
      <c r="B71" s="148">
        <f t="shared" si="5"/>
        <v>3.459296</v>
      </c>
      <c r="C71" s="38">
        <v>3.175886</v>
      </c>
      <c r="D71" s="39"/>
      <c r="E71" s="26">
        <v>0.249914</v>
      </c>
      <c r="F71" s="27">
        <v>0.033496</v>
      </c>
    </row>
    <row r="72" spans="1:6" ht="13.5" customHeight="1" thickBot="1">
      <c r="A72" s="80" t="s">
        <v>14</v>
      </c>
      <c r="B72" s="155">
        <f t="shared" si="5"/>
        <v>4.648</v>
      </c>
      <c r="C72" s="42">
        <v>4.095</v>
      </c>
      <c r="D72" s="43"/>
      <c r="E72" s="43">
        <v>0.5</v>
      </c>
      <c r="F72" s="50">
        <v>0.053</v>
      </c>
    </row>
    <row r="73" spans="1:6" ht="18" customHeight="1" hidden="1" thickBot="1">
      <c r="A73" s="72" t="s">
        <v>33</v>
      </c>
      <c r="B73" s="141">
        <f t="shared" si="5"/>
        <v>0</v>
      </c>
      <c r="C73" s="45">
        <f>C74+C82+C83</f>
        <v>0</v>
      </c>
      <c r="D73" s="45">
        <f>D74+D82+D83</f>
        <v>0</v>
      </c>
      <c r="E73" s="45">
        <f>E74+E82+E83</f>
        <v>0</v>
      </c>
      <c r="F73" s="46">
        <f>F74+F82+F83</f>
        <v>0</v>
      </c>
    </row>
    <row r="74" spans="1:6" ht="18" customHeight="1" hidden="1" thickBot="1">
      <c r="A74" s="78" t="s">
        <v>10</v>
      </c>
      <c r="B74" s="144">
        <f t="shared" si="5"/>
        <v>0</v>
      </c>
      <c r="C74" s="38">
        <f>C75+C76+C77+C78+C79+C80+C81</f>
        <v>0</v>
      </c>
      <c r="D74" s="39">
        <f>D75+D76+D77+D78+D79+D80+D81</f>
        <v>0</v>
      </c>
      <c r="E74" s="39">
        <f>E75+E76+E77+E78+E79+E80+E81</f>
        <v>0</v>
      </c>
      <c r="F74" s="49">
        <f>F75+F76+F77+F78+F79+F80+F81</f>
        <v>0</v>
      </c>
    </row>
    <row r="75" spans="1:6" ht="18" customHeight="1" hidden="1" thickBot="1">
      <c r="A75" s="79" t="s">
        <v>4</v>
      </c>
      <c r="B75" s="148">
        <f t="shared" si="5"/>
        <v>0</v>
      </c>
      <c r="C75" s="36"/>
      <c r="D75" s="40"/>
      <c r="E75" s="40"/>
      <c r="F75" s="47"/>
    </row>
    <row r="76" spans="1:6" ht="18" customHeight="1" hidden="1" thickBot="1">
      <c r="A76" s="79" t="s">
        <v>17</v>
      </c>
      <c r="B76" s="148">
        <f t="shared" si="5"/>
        <v>0</v>
      </c>
      <c r="C76" s="36"/>
      <c r="D76" s="40"/>
      <c r="E76" s="40"/>
      <c r="F76" s="47"/>
    </row>
    <row r="77" spans="1:6" ht="18" customHeight="1" hidden="1" thickBot="1">
      <c r="A77" s="79" t="s">
        <v>5</v>
      </c>
      <c r="B77" s="148">
        <f t="shared" si="5"/>
        <v>0</v>
      </c>
      <c r="C77" s="36"/>
      <c r="D77" s="40"/>
      <c r="E77" s="40"/>
      <c r="F77" s="47"/>
    </row>
    <row r="78" spans="1:6" ht="18" customHeight="1" hidden="1" thickBot="1">
      <c r="A78" s="79" t="s">
        <v>23</v>
      </c>
      <c r="B78" s="148">
        <f aca="true" t="shared" si="6" ref="B78:B85">SUM(C78:F78)</f>
        <v>0</v>
      </c>
      <c r="C78" s="36"/>
      <c r="D78" s="36"/>
      <c r="E78" s="36"/>
      <c r="F78" s="48"/>
    </row>
    <row r="79" spans="1:6" ht="18" customHeight="1" hidden="1" thickBot="1">
      <c r="A79" s="79" t="s">
        <v>24</v>
      </c>
      <c r="B79" s="148">
        <f t="shared" si="6"/>
        <v>0</v>
      </c>
      <c r="C79" s="36"/>
      <c r="D79" s="36"/>
      <c r="E79" s="36"/>
      <c r="F79" s="48"/>
    </row>
    <row r="80" spans="1:6" ht="18" customHeight="1" hidden="1" thickBot="1">
      <c r="A80" s="79" t="s">
        <v>25</v>
      </c>
      <c r="B80" s="148">
        <f t="shared" si="6"/>
        <v>0</v>
      </c>
      <c r="C80" s="36"/>
      <c r="D80" s="36"/>
      <c r="E80" s="36"/>
      <c r="F80" s="48"/>
    </row>
    <row r="81" spans="1:6" ht="13.5" hidden="1" thickBot="1">
      <c r="A81" s="79" t="s">
        <v>26</v>
      </c>
      <c r="B81" s="148">
        <f t="shared" si="6"/>
        <v>0</v>
      </c>
      <c r="C81" s="36"/>
      <c r="D81" s="36"/>
      <c r="E81" s="36"/>
      <c r="F81" s="48"/>
    </row>
    <row r="82" spans="1:6" ht="14.25" hidden="1" thickBot="1">
      <c r="A82" s="78" t="s">
        <v>0</v>
      </c>
      <c r="B82" s="144">
        <f t="shared" si="6"/>
        <v>0</v>
      </c>
      <c r="C82" s="38"/>
      <c r="D82" s="39"/>
      <c r="E82" s="26"/>
      <c r="F82" s="27"/>
    </row>
    <row r="83" spans="1:6" ht="14.25" hidden="1" thickBot="1">
      <c r="A83" s="78" t="s">
        <v>12</v>
      </c>
      <c r="B83" s="144">
        <f t="shared" si="6"/>
        <v>0</v>
      </c>
      <c r="C83" s="38">
        <f>C84</f>
        <v>0</v>
      </c>
      <c r="D83" s="39">
        <f>D84</f>
        <v>0</v>
      </c>
      <c r="E83" s="39">
        <f>E84</f>
        <v>0</v>
      </c>
      <c r="F83" s="49">
        <f>F84</f>
        <v>0</v>
      </c>
    </row>
    <row r="84" spans="1:6" ht="13.5" hidden="1" thickBot="1">
      <c r="A84" s="79" t="s">
        <v>13</v>
      </c>
      <c r="B84" s="148">
        <f t="shared" si="6"/>
        <v>0</v>
      </c>
      <c r="C84" s="36"/>
      <c r="D84" s="40"/>
      <c r="E84" s="40"/>
      <c r="F84" s="47"/>
    </row>
    <row r="85" spans="1:6" ht="13.5" hidden="1" thickBot="1">
      <c r="A85" s="80" t="s">
        <v>14</v>
      </c>
      <c r="B85" s="155">
        <f t="shared" si="6"/>
        <v>0</v>
      </c>
      <c r="C85" s="42"/>
      <c r="D85" s="43"/>
      <c r="E85" s="43"/>
      <c r="F85" s="50"/>
    </row>
    <row r="86" spans="1:6" ht="13.5" thickBot="1">
      <c r="A86" s="72" t="s">
        <v>35</v>
      </c>
      <c r="B86" s="141">
        <f aca="true" t="shared" si="7" ref="B86:B124">SUM(C86:F86)</f>
        <v>3.006684</v>
      </c>
      <c r="C86" s="45">
        <f>C87+C95+C96</f>
        <v>2.974703</v>
      </c>
      <c r="D86" s="45">
        <f>D87+D95+D96</f>
        <v>0</v>
      </c>
      <c r="E86" s="45">
        <f>E87+E95+E96</f>
        <v>0</v>
      </c>
      <c r="F86" s="46">
        <f>F87+F95+F96</f>
        <v>0.031981</v>
      </c>
    </row>
    <row r="87" spans="1:6" ht="13.5">
      <c r="A87" s="78" t="s">
        <v>10</v>
      </c>
      <c r="B87" s="144">
        <f t="shared" si="7"/>
        <v>0</v>
      </c>
      <c r="C87" s="18">
        <f>C88+C89+C90+C91+C92+C93+C94</f>
        <v>0</v>
      </c>
      <c r="D87" s="172">
        <f>D88+D89+D90+D91+D92+D93+D94</f>
        <v>0</v>
      </c>
      <c r="E87" s="172">
        <f>E88+E89+E90+E91+E92+E93+E94</f>
        <v>0</v>
      </c>
      <c r="F87" s="173">
        <f>F88+F89+F90+F91+F92+F93+F94</f>
        <v>0</v>
      </c>
    </row>
    <row r="88" spans="1:6" ht="12.75">
      <c r="A88" s="79" t="s">
        <v>4</v>
      </c>
      <c r="B88" s="148">
        <f t="shared" si="7"/>
        <v>0</v>
      </c>
      <c r="C88" s="36"/>
      <c r="D88" s="36"/>
      <c r="E88" s="36"/>
      <c r="F88" s="48"/>
    </row>
    <row r="89" spans="1:6" ht="12.75">
      <c r="A89" s="79" t="s">
        <v>17</v>
      </c>
      <c r="B89" s="148">
        <f t="shared" si="7"/>
        <v>0</v>
      </c>
      <c r="C89" s="36"/>
      <c r="D89" s="40"/>
      <c r="E89" s="40"/>
      <c r="F89" s="47"/>
    </row>
    <row r="90" spans="1:6" ht="12.75">
      <c r="A90" s="79" t="s">
        <v>5</v>
      </c>
      <c r="B90" s="148">
        <f t="shared" si="7"/>
        <v>0</v>
      </c>
      <c r="C90" s="36"/>
      <c r="D90" s="40"/>
      <c r="E90" s="40"/>
      <c r="F90" s="47"/>
    </row>
    <row r="91" spans="1:6" ht="12.75">
      <c r="A91" s="79" t="s">
        <v>23</v>
      </c>
      <c r="B91" s="148">
        <f t="shared" si="7"/>
        <v>0</v>
      </c>
      <c r="C91" s="36"/>
      <c r="D91" s="36"/>
      <c r="E91" s="36"/>
      <c r="F91" s="48"/>
    </row>
    <row r="92" spans="1:6" ht="12.75">
      <c r="A92" s="79" t="s">
        <v>24</v>
      </c>
      <c r="B92" s="148">
        <f t="shared" si="7"/>
        <v>0</v>
      </c>
      <c r="C92" s="36"/>
      <c r="D92" s="36"/>
      <c r="E92" s="36"/>
      <c r="F92" s="48"/>
    </row>
    <row r="93" spans="1:6" ht="12.75">
      <c r="A93" s="79" t="s">
        <v>25</v>
      </c>
      <c r="B93" s="148">
        <f t="shared" si="7"/>
        <v>0</v>
      </c>
      <c r="C93" s="36"/>
      <c r="D93" s="36"/>
      <c r="E93" s="36"/>
      <c r="F93" s="48"/>
    </row>
    <row r="94" spans="1:6" ht="12.75">
      <c r="A94" s="79" t="s">
        <v>26</v>
      </c>
      <c r="B94" s="148">
        <f t="shared" si="7"/>
        <v>0</v>
      </c>
      <c r="C94" s="36"/>
      <c r="D94" s="36"/>
      <c r="E94" s="36"/>
      <c r="F94" s="48"/>
    </row>
    <row r="95" spans="1:6" ht="13.5">
      <c r="A95" s="78" t="s">
        <v>0</v>
      </c>
      <c r="B95" s="144">
        <f t="shared" si="7"/>
        <v>1.0359880000000001</v>
      </c>
      <c r="C95" s="38">
        <v>1.004007</v>
      </c>
      <c r="D95" s="39"/>
      <c r="E95" s="26"/>
      <c r="F95" s="27">
        <v>0.031981</v>
      </c>
    </row>
    <row r="96" spans="1:6" ht="13.5">
      <c r="A96" s="78" t="s">
        <v>12</v>
      </c>
      <c r="B96" s="144">
        <f t="shared" si="7"/>
        <v>1.970696</v>
      </c>
      <c r="C96" s="38">
        <f>C97</f>
        <v>1.970696</v>
      </c>
      <c r="D96" s="39">
        <f>D97</f>
        <v>0</v>
      </c>
      <c r="E96" s="39">
        <f>E97</f>
        <v>0</v>
      </c>
      <c r="F96" s="49">
        <f>F97</f>
        <v>0</v>
      </c>
    </row>
    <row r="97" spans="1:6" ht="13.5">
      <c r="A97" s="79" t="s">
        <v>13</v>
      </c>
      <c r="B97" s="148">
        <f t="shared" si="7"/>
        <v>1.970696</v>
      </c>
      <c r="C97" s="38">
        <v>1.970696</v>
      </c>
      <c r="D97" s="39"/>
      <c r="E97" s="26"/>
      <c r="F97" s="27"/>
    </row>
    <row r="98" spans="1:6" ht="13.5" thickBot="1">
      <c r="A98" s="80" t="s">
        <v>14</v>
      </c>
      <c r="B98" s="155">
        <f t="shared" si="7"/>
        <v>1.669</v>
      </c>
      <c r="C98" s="42">
        <v>1.669</v>
      </c>
      <c r="D98" s="43"/>
      <c r="E98" s="43"/>
      <c r="F98" s="50"/>
    </row>
    <row r="99" spans="1:7" ht="13.5" thickBot="1">
      <c r="A99" s="72" t="s">
        <v>18</v>
      </c>
      <c r="B99" s="141">
        <f t="shared" si="7"/>
        <v>5.310596</v>
      </c>
      <c r="C99" s="45">
        <f>C100+C108+C109</f>
        <v>0.546028</v>
      </c>
      <c r="D99" s="45">
        <f>D100+D108+D109</f>
        <v>0</v>
      </c>
      <c r="E99" s="45">
        <f>E100+E108+E109</f>
        <v>1.920583</v>
      </c>
      <c r="F99" s="46">
        <f>F100+F108+F109</f>
        <v>2.843985</v>
      </c>
      <c r="G99" s="195"/>
    </row>
    <row r="100" spans="1:7" ht="13.5">
      <c r="A100" s="78" t="s">
        <v>10</v>
      </c>
      <c r="B100" s="144">
        <f t="shared" si="7"/>
        <v>2.208832</v>
      </c>
      <c r="C100" s="38">
        <f>C101+C102+C103+C104+C105+C106+C107</f>
        <v>0.064367</v>
      </c>
      <c r="D100" s="39">
        <f>D101+D102+D103+D104+D105+D106+D107</f>
        <v>0</v>
      </c>
      <c r="E100" s="39">
        <f>E101+E102+E103+E104+E105+E106+E107</f>
        <v>0.136971</v>
      </c>
      <c r="F100" s="49">
        <f>F101+F102+F103+F104+F105+F106+F107</f>
        <v>2.007494</v>
      </c>
      <c r="G100" s="195"/>
    </row>
    <row r="101" spans="1:7" ht="12.75">
      <c r="A101" s="79" t="s">
        <v>4</v>
      </c>
      <c r="B101" s="148">
        <f t="shared" si="7"/>
        <v>1.444321</v>
      </c>
      <c r="C101" s="36"/>
      <c r="D101" s="40"/>
      <c r="E101" s="40">
        <v>0.017745</v>
      </c>
      <c r="F101" s="47">
        <v>1.426576</v>
      </c>
      <c r="G101" s="195"/>
    </row>
    <row r="102" spans="1:7" ht="12.75">
      <c r="A102" s="79" t="s">
        <v>17</v>
      </c>
      <c r="B102" s="148">
        <f t="shared" si="7"/>
        <v>0</v>
      </c>
      <c r="C102" s="36"/>
      <c r="D102" s="40"/>
      <c r="E102" s="40"/>
      <c r="F102" s="47"/>
      <c r="G102" s="195"/>
    </row>
    <row r="103" spans="1:7" ht="12.75">
      <c r="A103" s="79" t="s">
        <v>5</v>
      </c>
      <c r="B103" s="148">
        <f t="shared" si="7"/>
        <v>0.575503</v>
      </c>
      <c r="C103" s="36"/>
      <c r="D103" s="40"/>
      <c r="E103" s="40">
        <v>0.005839</v>
      </c>
      <c r="F103" s="47">
        <v>0.569664</v>
      </c>
      <c r="G103" s="195"/>
    </row>
    <row r="104" spans="1:7" ht="12.75">
      <c r="A104" s="79" t="s">
        <v>23</v>
      </c>
      <c r="B104" s="148">
        <f t="shared" si="7"/>
        <v>0</v>
      </c>
      <c r="C104" s="36"/>
      <c r="D104" s="36"/>
      <c r="E104" s="36"/>
      <c r="F104" s="48"/>
      <c r="G104" s="195"/>
    </row>
    <row r="105" spans="1:7" ht="12.75">
      <c r="A105" s="79" t="s">
        <v>24</v>
      </c>
      <c r="B105" s="148">
        <f t="shared" si="7"/>
        <v>0.011254</v>
      </c>
      <c r="C105" s="36"/>
      <c r="D105" s="36"/>
      <c r="E105" s="36"/>
      <c r="F105" s="48">
        <v>0.011254</v>
      </c>
      <c r="G105" s="195"/>
    </row>
    <row r="106" spans="1:7" ht="12.75">
      <c r="A106" s="79" t="s">
        <v>25</v>
      </c>
      <c r="B106" s="148">
        <f t="shared" si="7"/>
        <v>0.177754</v>
      </c>
      <c r="C106" s="36">
        <v>0.064367</v>
      </c>
      <c r="D106" s="36"/>
      <c r="E106" s="36">
        <v>0.113387</v>
      </c>
      <c r="F106" s="48"/>
      <c r="G106" s="195"/>
    </row>
    <row r="107" spans="1:7" ht="12.75">
      <c r="A107" s="79" t="s">
        <v>26</v>
      </c>
      <c r="B107" s="148">
        <f t="shared" si="7"/>
        <v>0</v>
      </c>
      <c r="C107" s="36"/>
      <c r="D107" s="36"/>
      <c r="E107" s="36"/>
      <c r="F107" s="48"/>
      <c r="G107" s="195">
        <v>370.596</v>
      </c>
    </row>
    <row r="108" spans="1:6" ht="13.5">
      <c r="A108" s="78" t="s">
        <v>0</v>
      </c>
      <c r="B108" s="144">
        <f t="shared" si="7"/>
        <v>2.8378129999999997</v>
      </c>
      <c r="C108" s="38">
        <v>0.481661</v>
      </c>
      <c r="D108" s="39"/>
      <c r="E108" s="26">
        <v>1.615198</v>
      </c>
      <c r="F108" s="27">
        <v>0.740954</v>
      </c>
    </row>
    <row r="109" spans="1:6" ht="13.5">
      <c r="A109" s="78" t="s">
        <v>12</v>
      </c>
      <c r="B109" s="144">
        <f t="shared" si="7"/>
        <v>0.263951</v>
      </c>
      <c r="C109" s="38">
        <f>C110</f>
        <v>0</v>
      </c>
      <c r="D109" s="39">
        <f>D110</f>
        <v>0</v>
      </c>
      <c r="E109" s="39">
        <f>E110</f>
        <v>0.168414</v>
      </c>
      <c r="F109" s="49">
        <f>F110</f>
        <v>0.095537</v>
      </c>
    </row>
    <row r="110" spans="1:6" ht="12.75">
      <c r="A110" s="79" t="s">
        <v>13</v>
      </c>
      <c r="B110" s="148">
        <f t="shared" si="7"/>
        <v>0.263951</v>
      </c>
      <c r="C110" s="36"/>
      <c r="D110" s="40"/>
      <c r="E110" s="40">
        <v>0.168414</v>
      </c>
      <c r="F110" s="47">
        <v>0.095537</v>
      </c>
    </row>
    <row r="111" spans="1:6" ht="13.5" thickBot="1">
      <c r="A111" s="80" t="s">
        <v>14</v>
      </c>
      <c r="B111" s="155">
        <f t="shared" si="7"/>
        <v>0.41900000000000004</v>
      </c>
      <c r="C111" s="42"/>
      <c r="D111" s="43"/>
      <c r="E111" s="43">
        <v>0.258</v>
      </c>
      <c r="F111" s="50">
        <v>0.161</v>
      </c>
    </row>
    <row r="112" spans="1:6" ht="13.5" thickBot="1">
      <c r="A112" s="72" t="s">
        <v>28</v>
      </c>
      <c r="B112" s="141">
        <f t="shared" si="7"/>
        <v>2.340229</v>
      </c>
      <c r="C112" s="45">
        <f>C113+C121+C122</f>
        <v>1.229002</v>
      </c>
      <c r="D112" s="45">
        <f>D113+D121+D122</f>
        <v>0</v>
      </c>
      <c r="E112" s="45">
        <f>E113+E121+E122</f>
        <v>0.625216</v>
      </c>
      <c r="F112" s="46">
        <f>F113+F121+F122</f>
        <v>0.48601099999999997</v>
      </c>
    </row>
    <row r="113" spans="1:6" ht="13.5">
      <c r="A113" s="78" t="s">
        <v>10</v>
      </c>
      <c r="B113" s="144">
        <f t="shared" si="7"/>
        <v>0.46541699999999997</v>
      </c>
      <c r="C113" s="18">
        <f>C114+C115+C116+C117+C118+C119+C120</f>
        <v>0.000754</v>
      </c>
      <c r="D113" s="172">
        <f>D114+D115+D116+D117+D118+D119+D120</f>
        <v>0</v>
      </c>
      <c r="E113" s="172">
        <f>E114+E115+E116+E117+E118+E119+E120</f>
        <v>0</v>
      </c>
      <c r="F113" s="173">
        <f>F114+F115+F116+F117+F118+F119+F120</f>
        <v>0.464663</v>
      </c>
    </row>
    <row r="114" spans="1:6" ht="12.75">
      <c r="A114" s="79" t="s">
        <v>4</v>
      </c>
      <c r="B114" s="148">
        <f t="shared" si="7"/>
        <v>0.455195</v>
      </c>
      <c r="C114" s="36"/>
      <c r="D114" s="36"/>
      <c r="E114" s="36"/>
      <c r="F114" s="48">
        <v>0.455195</v>
      </c>
    </row>
    <row r="115" spans="1:6" ht="12.75">
      <c r="A115" s="79" t="s">
        <v>17</v>
      </c>
      <c r="B115" s="148">
        <f t="shared" si="7"/>
        <v>0.009468</v>
      </c>
      <c r="C115" s="36"/>
      <c r="D115" s="40"/>
      <c r="E115" s="40"/>
      <c r="F115" s="47">
        <v>0.009468</v>
      </c>
    </row>
    <row r="116" spans="1:6" ht="12.75">
      <c r="A116" s="79" t="s">
        <v>5</v>
      </c>
      <c r="B116" s="148">
        <f t="shared" si="7"/>
        <v>0</v>
      </c>
      <c r="C116" s="36"/>
      <c r="D116" s="40"/>
      <c r="E116" s="40"/>
      <c r="F116" s="47"/>
    </row>
    <row r="117" spans="1:6" ht="12.75">
      <c r="A117" s="79" t="s">
        <v>23</v>
      </c>
      <c r="B117" s="148">
        <f t="shared" si="7"/>
        <v>0</v>
      </c>
      <c r="C117" s="36"/>
      <c r="D117" s="36"/>
      <c r="E117" s="36"/>
      <c r="F117" s="48"/>
    </row>
    <row r="118" spans="1:6" ht="12.75">
      <c r="A118" s="79" t="s">
        <v>24</v>
      </c>
      <c r="B118" s="148">
        <f t="shared" si="7"/>
        <v>0</v>
      </c>
      <c r="C118" s="36"/>
      <c r="D118" s="36"/>
      <c r="E118" s="36"/>
      <c r="F118" s="48"/>
    </row>
    <row r="119" spans="1:6" ht="12.75">
      <c r="A119" s="79" t="s">
        <v>25</v>
      </c>
      <c r="B119" s="148">
        <f t="shared" si="7"/>
        <v>0</v>
      </c>
      <c r="C119" s="36"/>
      <c r="D119" s="36"/>
      <c r="E119" s="36"/>
      <c r="F119" s="48"/>
    </row>
    <row r="120" spans="1:6" ht="12.75">
      <c r="A120" s="79" t="s">
        <v>26</v>
      </c>
      <c r="B120" s="148">
        <f t="shared" si="7"/>
        <v>0.000754</v>
      </c>
      <c r="C120" s="36">
        <v>0.000754</v>
      </c>
      <c r="D120" s="36"/>
      <c r="E120" s="36"/>
      <c r="F120" s="48"/>
    </row>
    <row r="121" spans="1:6" ht="13.5">
      <c r="A121" s="78" t="s">
        <v>0</v>
      </c>
      <c r="B121" s="144">
        <f t="shared" si="7"/>
        <v>1.8482770000000002</v>
      </c>
      <c r="C121" s="38">
        <v>1.228248</v>
      </c>
      <c r="D121" s="39"/>
      <c r="E121" s="39">
        <v>0.604872</v>
      </c>
      <c r="F121" s="27">
        <v>0.015157</v>
      </c>
    </row>
    <row r="122" spans="1:6" ht="13.5">
      <c r="A122" s="78" t="s">
        <v>12</v>
      </c>
      <c r="B122" s="144">
        <f t="shared" si="7"/>
        <v>0.026535000000000003</v>
      </c>
      <c r="C122" s="38">
        <f>C123</f>
        <v>0</v>
      </c>
      <c r="D122" s="39">
        <f>D123</f>
        <v>0</v>
      </c>
      <c r="E122" s="39">
        <f>E123</f>
        <v>0.020344</v>
      </c>
      <c r="F122" s="49">
        <f>F123</f>
        <v>0.006191</v>
      </c>
    </row>
    <row r="123" spans="1:6" ht="13.5">
      <c r="A123" s="79" t="s">
        <v>13</v>
      </c>
      <c r="B123" s="148">
        <f t="shared" si="7"/>
        <v>0.026535000000000003</v>
      </c>
      <c r="C123" s="38"/>
      <c r="D123" s="39"/>
      <c r="E123" s="26">
        <v>0.020344</v>
      </c>
      <c r="F123" s="27">
        <v>0.006191</v>
      </c>
    </row>
    <row r="124" spans="1:6" ht="13.5" thickBot="1">
      <c r="A124" s="80" t="s">
        <v>14</v>
      </c>
      <c r="B124" s="155">
        <f t="shared" si="7"/>
        <v>0.048</v>
      </c>
      <c r="C124" s="42"/>
      <c r="D124" s="43"/>
      <c r="E124" s="43">
        <v>0.038</v>
      </c>
      <c r="F124" s="50">
        <v>0.01</v>
      </c>
    </row>
    <row r="125" spans="1:6" ht="13.5" thickBot="1">
      <c r="A125" s="72" t="s">
        <v>19</v>
      </c>
      <c r="B125" s="141">
        <f>SUM(C125:F125)</f>
        <v>4.183282</v>
      </c>
      <c r="C125" s="45">
        <f>C126+C134+C135</f>
        <v>2.543604</v>
      </c>
      <c r="D125" s="45">
        <f>D126+D134+D135</f>
        <v>0</v>
      </c>
      <c r="E125" s="45">
        <f>E126+E134+E135</f>
        <v>0.942455</v>
      </c>
      <c r="F125" s="46">
        <f>F126+F134+F135</f>
        <v>0.697223</v>
      </c>
    </row>
    <row r="126" spans="1:6" ht="13.5">
      <c r="A126" s="78" t="s">
        <v>10</v>
      </c>
      <c r="B126" s="144">
        <f>SUM(C126:F126)</f>
        <v>0.529455</v>
      </c>
      <c r="C126" s="38">
        <f>C127+C128+C129+C130+C131+C132+C133</f>
        <v>0</v>
      </c>
      <c r="D126" s="39">
        <f>D127+D128+D129+D130+D131+D132+D133</f>
        <v>0</v>
      </c>
      <c r="E126" s="39">
        <f>E127+E128+E129+E130+E131+E132+E133</f>
        <v>0.08628100000000001</v>
      </c>
      <c r="F126" s="49">
        <f>F127+F128+F129+F130+F131+F132+F133</f>
        <v>0.44317399999999996</v>
      </c>
    </row>
    <row r="127" spans="1:6" ht="12.75">
      <c r="A127" s="79" t="s">
        <v>4</v>
      </c>
      <c r="B127" s="148">
        <f>SUM(C127:F127)</f>
        <v>0.159897</v>
      </c>
      <c r="C127" s="36"/>
      <c r="D127" s="40"/>
      <c r="E127" s="40">
        <v>0.050042</v>
      </c>
      <c r="F127" s="47">
        <v>0.109855</v>
      </c>
    </row>
    <row r="128" spans="1:6" ht="12.75">
      <c r="A128" s="79" t="s">
        <v>17</v>
      </c>
      <c r="B128" s="148">
        <f>SUM(C128:F128)</f>
        <v>0.041773000000000005</v>
      </c>
      <c r="C128" s="36"/>
      <c r="D128" s="40"/>
      <c r="E128" s="40">
        <v>0.030783</v>
      </c>
      <c r="F128" s="47">
        <v>0.01099</v>
      </c>
    </row>
    <row r="129" spans="1:6" ht="12.75">
      <c r="A129" s="79" t="s">
        <v>5</v>
      </c>
      <c r="B129" s="148">
        <f>SUM(C129:F129)</f>
        <v>0.327461</v>
      </c>
      <c r="C129" s="36"/>
      <c r="D129" s="40"/>
      <c r="E129" s="40">
        <v>0.005132</v>
      </c>
      <c r="F129" s="47">
        <v>0.322329</v>
      </c>
    </row>
    <row r="130" spans="1:6" ht="12.75">
      <c r="A130" s="79" t="s">
        <v>23</v>
      </c>
      <c r="B130" s="148">
        <f aca="true" t="shared" si="8" ref="B130:B137">SUM(C130:F130)</f>
        <v>0</v>
      </c>
      <c r="C130" s="36"/>
      <c r="D130" s="36"/>
      <c r="E130" s="36"/>
      <c r="F130" s="48"/>
    </row>
    <row r="131" spans="1:6" ht="12.75">
      <c r="A131" s="79" t="s">
        <v>24</v>
      </c>
      <c r="B131" s="148">
        <f t="shared" si="8"/>
        <v>0.000101</v>
      </c>
      <c r="C131" s="36"/>
      <c r="D131" s="36"/>
      <c r="E131" s="36">
        <v>0.000101</v>
      </c>
      <c r="F131" s="48"/>
    </row>
    <row r="132" spans="1:6" ht="12.75">
      <c r="A132" s="79" t="s">
        <v>25</v>
      </c>
      <c r="B132" s="148">
        <f t="shared" si="8"/>
        <v>0</v>
      </c>
      <c r="C132" s="36"/>
      <c r="D132" s="36"/>
      <c r="E132" s="36"/>
      <c r="F132" s="48"/>
    </row>
    <row r="133" spans="1:6" ht="12.75">
      <c r="A133" s="79" t="s">
        <v>26</v>
      </c>
      <c r="B133" s="148">
        <f t="shared" si="8"/>
        <v>0.000223</v>
      </c>
      <c r="C133" s="36"/>
      <c r="D133" s="36"/>
      <c r="E133" s="36">
        <v>0.000223</v>
      </c>
      <c r="F133" s="48"/>
    </row>
    <row r="134" spans="1:6" ht="13.5">
      <c r="A134" s="78" t="s">
        <v>0</v>
      </c>
      <c r="B134" s="144">
        <f t="shared" si="8"/>
        <v>3.2403930000000005</v>
      </c>
      <c r="C134" s="38">
        <v>2.434448</v>
      </c>
      <c r="D134" s="39"/>
      <c r="E134" s="26">
        <v>0.617691</v>
      </c>
      <c r="F134" s="27">
        <v>0.188254</v>
      </c>
    </row>
    <row r="135" spans="1:6" ht="13.5">
      <c r="A135" s="78" t="s">
        <v>12</v>
      </c>
      <c r="B135" s="144">
        <f t="shared" si="8"/>
        <v>0.413434</v>
      </c>
      <c r="C135" s="38">
        <f>C136</f>
        <v>0.109156</v>
      </c>
      <c r="D135" s="39">
        <f>D136</f>
        <v>0</v>
      </c>
      <c r="E135" s="39">
        <f>E136</f>
        <v>0.238483</v>
      </c>
      <c r="F135" s="49">
        <f>F136</f>
        <v>0.065795</v>
      </c>
    </row>
    <row r="136" spans="1:6" ht="12.75">
      <c r="A136" s="79" t="s">
        <v>13</v>
      </c>
      <c r="B136" s="148">
        <f t="shared" si="8"/>
        <v>0.413434</v>
      </c>
      <c r="C136" s="36">
        <v>0.109156</v>
      </c>
      <c r="D136" s="40"/>
      <c r="E136" s="40">
        <v>0.238483</v>
      </c>
      <c r="F136" s="47">
        <v>0.065795</v>
      </c>
    </row>
    <row r="137" spans="1:6" ht="13.5" thickBot="1">
      <c r="A137" s="80" t="s">
        <v>14</v>
      </c>
      <c r="B137" s="155">
        <f t="shared" si="8"/>
        <v>0.68</v>
      </c>
      <c r="C137" s="42">
        <v>0.194</v>
      </c>
      <c r="D137" s="43"/>
      <c r="E137" s="43">
        <v>0.382</v>
      </c>
      <c r="F137" s="50">
        <v>0.104</v>
      </c>
    </row>
    <row r="138" spans="1:6" ht="13.5" thickBot="1">
      <c r="A138" s="72" t="s">
        <v>20</v>
      </c>
      <c r="B138" s="141">
        <f aca="true" t="shared" si="9" ref="B138:B190">SUM(C138:F138)</f>
        <v>0.794386</v>
      </c>
      <c r="C138" s="45">
        <f>C139+C147+C148</f>
        <v>0</v>
      </c>
      <c r="D138" s="45">
        <f>D139+D147+D148</f>
        <v>0</v>
      </c>
      <c r="E138" s="45">
        <f>E139+E147+E148</f>
        <v>0.40059</v>
      </c>
      <c r="F138" s="46">
        <f>F139+F147</f>
        <v>0.393796</v>
      </c>
    </row>
    <row r="139" spans="1:6" ht="13.5">
      <c r="A139" s="78" t="s">
        <v>10</v>
      </c>
      <c r="B139" s="159">
        <f t="shared" si="9"/>
        <v>0.287141</v>
      </c>
      <c r="C139" s="18">
        <f>C140+C141+C142+C143+C144+C145+C146</f>
        <v>0</v>
      </c>
      <c r="D139" s="172">
        <f>D140+D141+D142+D143+D144+D145+D146</f>
        <v>0</v>
      </c>
      <c r="E139" s="172">
        <f>E140+E141+E142+E143+E144+E145+E146</f>
        <v>0.012625</v>
      </c>
      <c r="F139" s="173">
        <f>F140+F141+F142+F143+F144+F145+F146</f>
        <v>0.274516</v>
      </c>
    </row>
    <row r="140" spans="1:6" ht="12.75">
      <c r="A140" s="79" t="s">
        <v>4</v>
      </c>
      <c r="B140" s="148">
        <f t="shared" si="9"/>
        <v>0.232871</v>
      </c>
      <c r="C140" s="36"/>
      <c r="D140" s="36"/>
      <c r="E140" s="36">
        <v>0.012625</v>
      </c>
      <c r="F140" s="48">
        <v>0.220246</v>
      </c>
    </row>
    <row r="141" spans="1:6" ht="12.75">
      <c r="A141" s="79" t="s">
        <v>17</v>
      </c>
      <c r="B141" s="148">
        <f t="shared" si="9"/>
        <v>0</v>
      </c>
      <c r="C141" s="36"/>
      <c r="D141" s="40"/>
      <c r="E141" s="40"/>
      <c r="F141" s="47"/>
    </row>
    <row r="142" spans="1:6" ht="12.75">
      <c r="A142" s="79" t="s">
        <v>5</v>
      </c>
      <c r="B142" s="148">
        <f t="shared" si="9"/>
        <v>0.05427</v>
      </c>
      <c r="C142" s="36"/>
      <c r="D142" s="40"/>
      <c r="E142" s="40"/>
      <c r="F142" s="47">
        <v>0.05427</v>
      </c>
    </row>
    <row r="143" spans="1:6" ht="12.75">
      <c r="A143" s="79" t="s">
        <v>23</v>
      </c>
      <c r="B143" s="148">
        <f t="shared" si="9"/>
        <v>0</v>
      </c>
      <c r="C143" s="36"/>
      <c r="D143" s="36"/>
      <c r="E143" s="36"/>
      <c r="F143" s="48"/>
    </row>
    <row r="144" spans="1:6" ht="12.75">
      <c r="A144" s="79" t="s">
        <v>24</v>
      </c>
      <c r="B144" s="148">
        <f t="shared" si="9"/>
        <v>0</v>
      </c>
      <c r="C144" s="36"/>
      <c r="D144" s="36"/>
      <c r="E144" s="36"/>
      <c r="F144" s="48"/>
    </row>
    <row r="145" spans="1:6" ht="12.75">
      <c r="A145" s="79" t="s">
        <v>25</v>
      </c>
      <c r="B145" s="148">
        <f t="shared" si="9"/>
        <v>0</v>
      </c>
      <c r="C145" s="36"/>
      <c r="D145" s="36"/>
      <c r="E145" s="36"/>
      <c r="F145" s="48"/>
    </row>
    <row r="146" spans="1:6" ht="12.75">
      <c r="A146" s="79" t="s">
        <v>26</v>
      </c>
      <c r="B146" s="148">
        <f t="shared" si="9"/>
        <v>0</v>
      </c>
      <c r="C146" s="36"/>
      <c r="D146" s="36"/>
      <c r="E146" s="36"/>
      <c r="F146" s="48"/>
    </row>
    <row r="147" spans="1:6" ht="13.5">
      <c r="A147" s="78" t="s">
        <v>0</v>
      </c>
      <c r="B147" s="163">
        <f t="shared" si="9"/>
        <v>0.362514</v>
      </c>
      <c r="C147" s="38"/>
      <c r="D147" s="39"/>
      <c r="E147" s="26">
        <v>0.243234</v>
      </c>
      <c r="F147" s="27">
        <v>0.11928</v>
      </c>
    </row>
    <row r="148" spans="1:6" ht="13.5">
      <c r="A148" s="78" t="s">
        <v>12</v>
      </c>
      <c r="B148" s="144">
        <f t="shared" si="9"/>
        <v>0.144731</v>
      </c>
      <c r="C148" s="38">
        <f>C149</f>
        <v>0</v>
      </c>
      <c r="D148" s="39">
        <f>D149</f>
        <v>0</v>
      </c>
      <c r="E148" s="39">
        <f>E149</f>
        <v>0.144731</v>
      </c>
      <c r="F148" s="49">
        <f>F149</f>
        <v>0</v>
      </c>
    </row>
    <row r="149" spans="1:6" ht="13.5">
      <c r="A149" s="79" t="s">
        <v>13</v>
      </c>
      <c r="B149" s="148">
        <f t="shared" si="9"/>
        <v>0.144731</v>
      </c>
      <c r="C149" s="38"/>
      <c r="D149" s="39"/>
      <c r="E149" s="26">
        <v>0.144731</v>
      </c>
      <c r="F149" s="27"/>
    </row>
    <row r="150" spans="1:6" ht="13.5" thickBot="1">
      <c r="A150" s="80" t="s">
        <v>14</v>
      </c>
      <c r="B150" s="155">
        <f t="shared" si="9"/>
        <v>0.21</v>
      </c>
      <c r="C150" s="42"/>
      <c r="D150" s="43"/>
      <c r="E150" s="43">
        <v>0.21</v>
      </c>
      <c r="F150" s="50"/>
    </row>
    <row r="151" spans="1:6" ht="13.5" thickBot="1">
      <c r="A151" s="72" t="s">
        <v>21</v>
      </c>
      <c r="B151" s="141">
        <f t="shared" si="9"/>
        <v>1.9982569999999997</v>
      </c>
      <c r="C151" s="45">
        <f>C152+C160+C161</f>
        <v>0</v>
      </c>
      <c r="D151" s="45">
        <f>D152+D160+D161</f>
        <v>0</v>
      </c>
      <c r="E151" s="45">
        <f>E152+E160+E161</f>
        <v>1.117689</v>
      </c>
      <c r="F151" s="46">
        <f>F152+F160+F161</f>
        <v>0.8805679999999999</v>
      </c>
    </row>
    <row r="152" spans="1:6" ht="13.5">
      <c r="A152" s="78" t="s">
        <v>10</v>
      </c>
      <c r="B152" s="144">
        <f t="shared" si="9"/>
        <v>0.9609109999999998</v>
      </c>
      <c r="C152" s="38">
        <f>C153+C154+C155+C156+C157+C158+C159</f>
        <v>0</v>
      </c>
      <c r="D152" s="39">
        <f>D153+D154+D155+D156+D157+D158+D159</f>
        <v>0</v>
      </c>
      <c r="E152" s="39">
        <f>E153+E154+E155+E156+E157+E158+E159</f>
        <v>0.322636</v>
      </c>
      <c r="F152" s="49">
        <f>F153+F154+F155+F156+F157+F158+F159</f>
        <v>0.6382749999999999</v>
      </c>
    </row>
    <row r="153" spans="1:6" ht="12.75">
      <c r="A153" s="79" t="s">
        <v>4</v>
      </c>
      <c r="B153" s="148">
        <f t="shared" si="9"/>
        <v>0.566394</v>
      </c>
      <c r="C153" s="36"/>
      <c r="D153" s="40"/>
      <c r="E153" s="40">
        <v>0.165987</v>
      </c>
      <c r="F153" s="47">
        <v>0.40040699999999996</v>
      </c>
    </row>
    <row r="154" spans="1:6" ht="12.75">
      <c r="A154" s="79" t="s">
        <v>17</v>
      </c>
      <c r="B154" s="148">
        <f t="shared" si="9"/>
        <v>0.228519</v>
      </c>
      <c r="C154" s="36"/>
      <c r="D154" s="40"/>
      <c r="E154" s="40">
        <v>0.153809</v>
      </c>
      <c r="F154" s="47">
        <v>0.07471</v>
      </c>
    </row>
    <row r="155" spans="1:6" ht="12.75">
      <c r="A155" s="79" t="s">
        <v>5</v>
      </c>
      <c r="B155" s="148">
        <f t="shared" si="9"/>
        <v>0.163846</v>
      </c>
      <c r="C155" s="36"/>
      <c r="D155" s="40"/>
      <c r="E155" s="40">
        <v>0.002093</v>
      </c>
      <c r="F155" s="47">
        <v>0.16175299999999998</v>
      </c>
    </row>
    <row r="156" spans="1:6" ht="12.75">
      <c r="A156" s="79" t="s">
        <v>23</v>
      </c>
      <c r="B156" s="148">
        <f t="shared" si="9"/>
        <v>0</v>
      </c>
      <c r="C156" s="36"/>
      <c r="D156" s="36"/>
      <c r="E156" s="36"/>
      <c r="F156" s="48"/>
    </row>
    <row r="157" spans="1:6" ht="12.75">
      <c r="A157" s="79" t="s">
        <v>24</v>
      </c>
      <c r="B157" s="148">
        <f t="shared" si="9"/>
        <v>0.001198</v>
      </c>
      <c r="C157" s="36"/>
      <c r="D157" s="36"/>
      <c r="E157" s="36"/>
      <c r="F157" s="48">
        <v>0.001198</v>
      </c>
    </row>
    <row r="158" spans="1:6" ht="12.75">
      <c r="A158" s="79" t="s">
        <v>25</v>
      </c>
      <c r="B158" s="148">
        <f t="shared" si="9"/>
        <v>0</v>
      </c>
      <c r="C158" s="36"/>
      <c r="D158" s="36"/>
      <c r="E158" s="36"/>
      <c r="F158" s="48"/>
    </row>
    <row r="159" spans="1:6" ht="12.75">
      <c r="A159" s="79" t="s">
        <v>26</v>
      </c>
      <c r="B159" s="148">
        <f t="shared" si="9"/>
        <v>0.000954</v>
      </c>
      <c r="C159" s="36"/>
      <c r="D159" s="36"/>
      <c r="E159" s="36">
        <v>0.000747</v>
      </c>
      <c r="F159" s="48">
        <v>0.000207</v>
      </c>
    </row>
    <row r="160" spans="1:6" ht="13.5">
      <c r="A160" s="78" t="s">
        <v>0</v>
      </c>
      <c r="B160" s="144">
        <f t="shared" si="9"/>
        <v>0.745169</v>
      </c>
      <c r="C160" s="38"/>
      <c r="D160" s="39"/>
      <c r="E160" s="26">
        <v>0.567703</v>
      </c>
      <c r="F160" s="27">
        <v>0.177466</v>
      </c>
    </row>
    <row r="161" spans="1:6" ht="13.5">
      <c r="A161" s="78" t="s">
        <v>12</v>
      </c>
      <c r="B161" s="144">
        <f t="shared" si="9"/>
        <v>0.292177</v>
      </c>
      <c r="C161" s="38">
        <f>C162</f>
        <v>0</v>
      </c>
      <c r="D161" s="39">
        <f>D162</f>
        <v>0</v>
      </c>
      <c r="E161" s="39">
        <f>E162</f>
        <v>0.22735</v>
      </c>
      <c r="F161" s="49">
        <f>F162</f>
        <v>0.064827</v>
      </c>
    </row>
    <row r="162" spans="1:6" ht="12.75">
      <c r="A162" s="79" t="s">
        <v>13</v>
      </c>
      <c r="B162" s="148">
        <f t="shared" si="9"/>
        <v>0.292177</v>
      </c>
      <c r="C162" s="36"/>
      <c r="D162" s="40"/>
      <c r="E162" s="40">
        <v>0.22735</v>
      </c>
      <c r="F162" s="47">
        <v>0.064827</v>
      </c>
    </row>
    <row r="163" spans="1:6" ht="13.5" thickBot="1">
      <c r="A163" s="80" t="s">
        <v>14</v>
      </c>
      <c r="B163" s="155">
        <f t="shared" si="9"/>
        <v>0.42100000000000004</v>
      </c>
      <c r="C163" s="42"/>
      <c r="D163" s="43"/>
      <c r="E163" s="43">
        <v>0.324</v>
      </c>
      <c r="F163" s="50">
        <v>0.097</v>
      </c>
    </row>
    <row r="164" spans="1:6" ht="13.5" thickBot="1">
      <c r="A164" s="72" t="s">
        <v>22</v>
      </c>
      <c r="B164" s="141">
        <f t="shared" si="9"/>
        <v>2.5131343</v>
      </c>
      <c r="C164" s="45">
        <f>C165+C173+C174</f>
        <v>0</v>
      </c>
      <c r="D164" s="45">
        <f>D165+D173+D174</f>
        <v>0</v>
      </c>
      <c r="E164" s="45">
        <f>E165+E173+E174</f>
        <v>1.448018</v>
      </c>
      <c r="F164" s="46">
        <f>F165+F173+F174</f>
        <v>1.0651163000000001</v>
      </c>
    </row>
    <row r="165" spans="1:6" ht="13.5">
      <c r="A165" s="78" t="s">
        <v>10</v>
      </c>
      <c r="B165" s="144">
        <f t="shared" si="9"/>
        <v>1.4934373</v>
      </c>
      <c r="C165" s="18">
        <f>C166+C167+C168+C169+C170+C171+C172</f>
        <v>0</v>
      </c>
      <c r="D165" s="172">
        <f>D166+D167+D168+D169+D170+D171+D172</f>
        <v>0</v>
      </c>
      <c r="E165" s="172">
        <f>E166+E167+E168+E169+E170+E171+E172</f>
        <v>0.642327</v>
      </c>
      <c r="F165" s="173">
        <f>F166+F167+F168+F169+F170+F171+F172</f>
        <v>0.8511103000000001</v>
      </c>
    </row>
    <row r="166" spans="1:6" ht="13.5">
      <c r="A166" s="78" t="s">
        <v>4</v>
      </c>
      <c r="B166" s="148">
        <f t="shared" si="9"/>
        <v>1.04172</v>
      </c>
      <c r="C166" s="36"/>
      <c r="D166" s="36"/>
      <c r="E166" s="36">
        <v>0.408769</v>
      </c>
      <c r="F166" s="48">
        <v>0.632951</v>
      </c>
    </row>
    <row r="167" spans="1:6" ht="13.5">
      <c r="A167" s="78" t="s">
        <v>17</v>
      </c>
      <c r="B167" s="148">
        <f t="shared" si="9"/>
        <v>0.401689</v>
      </c>
      <c r="C167" s="36"/>
      <c r="D167" s="40"/>
      <c r="E167" s="40">
        <v>0.218784</v>
      </c>
      <c r="F167" s="47">
        <v>0.182905</v>
      </c>
    </row>
    <row r="168" spans="1:6" ht="13.5">
      <c r="A168" s="78" t="s">
        <v>5</v>
      </c>
      <c r="B168" s="148">
        <f t="shared" si="9"/>
        <v>0.0414803</v>
      </c>
      <c r="C168" s="36"/>
      <c r="D168" s="40"/>
      <c r="E168" s="40">
        <v>0.006362</v>
      </c>
      <c r="F168" s="47">
        <v>0.0351183</v>
      </c>
    </row>
    <row r="169" spans="1:6" ht="12.75">
      <c r="A169" s="79" t="s">
        <v>23</v>
      </c>
      <c r="B169" s="148">
        <f t="shared" si="9"/>
        <v>0</v>
      </c>
      <c r="C169" s="36"/>
      <c r="D169" s="36"/>
      <c r="E169" s="36"/>
      <c r="F169" s="48"/>
    </row>
    <row r="170" spans="1:6" ht="12.75">
      <c r="A170" s="79" t="s">
        <v>24</v>
      </c>
      <c r="B170" s="148">
        <f t="shared" si="9"/>
        <v>0.008041</v>
      </c>
      <c r="C170" s="36"/>
      <c r="D170" s="36"/>
      <c r="E170" s="36">
        <v>0.008041</v>
      </c>
      <c r="F170" s="48"/>
    </row>
    <row r="171" spans="1:6" ht="12.75">
      <c r="A171" s="79" t="s">
        <v>25</v>
      </c>
      <c r="B171" s="148">
        <f t="shared" si="9"/>
        <v>0</v>
      </c>
      <c r="C171" s="36"/>
      <c r="D171" s="36"/>
      <c r="E171" s="36"/>
      <c r="F171" s="48"/>
    </row>
    <row r="172" spans="1:6" ht="12.75">
      <c r="A172" s="79" t="s">
        <v>26</v>
      </c>
      <c r="B172" s="148">
        <f t="shared" si="9"/>
        <v>0.0005070000000000001</v>
      </c>
      <c r="C172" s="36"/>
      <c r="D172" s="36"/>
      <c r="E172" s="36">
        <v>0.000371</v>
      </c>
      <c r="F172" s="48">
        <v>0.000136</v>
      </c>
    </row>
    <row r="173" spans="1:6" ht="13.5">
      <c r="A173" s="78" t="s">
        <v>0</v>
      </c>
      <c r="B173" s="144">
        <f t="shared" si="9"/>
        <v>0.921034</v>
      </c>
      <c r="C173" s="38"/>
      <c r="D173" s="39"/>
      <c r="E173" s="26">
        <v>0.772279</v>
      </c>
      <c r="F173" s="27">
        <v>0.148755</v>
      </c>
    </row>
    <row r="174" spans="1:6" ht="13.5">
      <c r="A174" s="78" t="s">
        <v>12</v>
      </c>
      <c r="B174" s="144">
        <f t="shared" si="9"/>
        <v>0.098663</v>
      </c>
      <c r="C174" s="38">
        <f>C175</f>
        <v>0</v>
      </c>
      <c r="D174" s="39">
        <f>D175</f>
        <v>0</v>
      </c>
      <c r="E174" s="39">
        <f>E175</f>
        <v>0.033412</v>
      </c>
      <c r="F174" s="49">
        <f>F175</f>
        <v>0.065251</v>
      </c>
    </row>
    <row r="175" spans="1:6" ht="13.5">
      <c r="A175" s="79" t="s">
        <v>13</v>
      </c>
      <c r="B175" s="148">
        <f t="shared" si="9"/>
        <v>0.098663</v>
      </c>
      <c r="C175" s="38"/>
      <c r="D175" s="39"/>
      <c r="E175" s="26">
        <v>0.033412</v>
      </c>
      <c r="F175" s="27">
        <v>0.065251</v>
      </c>
    </row>
    <row r="176" spans="1:6" ht="13.5" thickBot="1">
      <c r="A176" s="80" t="s">
        <v>14</v>
      </c>
      <c r="B176" s="155">
        <f t="shared" si="9"/>
        <v>0.178</v>
      </c>
      <c r="C176" s="42"/>
      <c r="D176" s="43"/>
      <c r="E176" s="43">
        <v>0.06</v>
      </c>
      <c r="F176" s="50">
        <v>0.118</v>
      </c>
    </row>
    <row r="177" spans="1:6" ht="13.5" thickBot="1">
      <c r="A177" s="72" t="s">
        <v>36</v>
      </c>
      <c r="B177" s="141">
        <f t="shared" si="9"/>
        <v>5.74002</v>
      </c>
      <c r="C177" s="45">
        <f>C178+C186+C187</f>
        <v>0</v>
      </c>
      <c r="D177" s="45">
        <f>D178+D186+D187</f>
        <v>0</v>
      </c>
      <c r="E177" s="45">
        <f>E178+E186+E187</f>
        <v>1.016408</v>
      </c>
      <c r="F177" s="46">
        <f>F178+F186+F187</f>
        <v>4.723612</v>
      </c>
    </row>
    <row r="178" spans="1:6" ht="13.5">
      <c r="A178" s="78" t="s">
        <v>10</v>
      </c>
      <c r="B178" s="144">
        <f t="shared" si="9"/>
        <v>3.7794849999999998</v>
      </c>
      <c r="C178" s="38">
        <f>C179+C180+C181+C182+C183+C184+C185</f>
        <v>0</v>
      </c>
      <c r="D178" s="39">
        <f>D179+D180+D181+D182+D183+D184+D185</f>
        <v>0</v>
      </c>
      <c r="E178" s="39">
        <f>E179+E180+E181+E182+E183+E184+E185</f>
        <v>0.033359</v>
      </c>
      <c r="F178" s="49">
        <f>F179+F180+F181+F182+F183+F184+F185</f>
        <v>3.746126</v>
      </c>
    </row>
    <row r="179" spans="1:6" ht="12.75">
      <c r="A179" s="79" t="s">
        <v>4</v>
      </c>
      <c r="B179" s="148">
        <f t="shared" si="9"/>
        <v>0.37612599999999996</v>
      </c>
      <c r="C179" s="36"/>
      <c r="D179" s="40"/>
      <c r="E179" s="40">
        <f>0.00404</f>
        <v>0.00404</v>
      </c>
      <c r="F179" s="47">
        <f>0.372086</f>
        <v>0.372086</v>
      </c>
    </row>
    <row r="180" spans="1:6" ht="12.75">
      <c r="A180" s="79" t="s">
        <v>17</v>
      </c>
      <c r="B180" s="148">
        <f t="shared" si="9"/>
        <v>0</v>
      </c>
      <c r="C180" s="36"/>
      <c r="D180" s="40"/>
      <c r="E180" s="40"/>
      <c r="F180" s="47"/>
    </row>
    <row r="181" spans="1:6" ht="12.75">
      <c r="A181" s="79" t="s">
        <v>5</v>
      </c>
      <c r="B181" s="148">
        <f t="shared" si="9"/>
        <v>3.39493</v>
      </c>
      <c r="C181" s="36"/>
      <c r="D181" s="40"/>
      <c r="E181" s="40">
        <v>0.023365</v>
      </c>
      <c r="F181" s="47">
        <v>3.371565</v>
      </c>
    </row>
    <row r="182" spans="1:6" ht="12.75">
      <c r="A182" s="79" t="s">
        <v>23</v>
      </c>
      <c r="B182" s="148">
        <f t="shared" si="9"/>
        <v>0</v>
      </c>
      <c r="C182" s="36"/>
      <c r="D182" s="36"/>
      <c r="E182" s="36"/>
      <c r="F182" s="48"/>
    </row>
    <row r="183" spans="1:6" ht="12.75">
      <c r="A183" s="79" t="s">
        <v>24</v>
      </c>
      <c r="B183" s="148">
        <f t="shared" si="9"/>
        <v>0.008429</v>
      </c>
      <c r="C183" s="36"/>
      <c r="D183" s="36"/>
      <c r="E183" s="36">
        <v>0.005954</v>
      </c>
      <c r="F183" s="48">
        <v>0.002475</v>
      </c>
    </row>
    <row r="184" spans="1:6" ht="12.75">
      <c r="A184" s="79" t="s">
        <v>25</v>
      </c>
      <c r="B184" s="148">
        <f t="shared" si="9"/>
        <v>0</v>
      </c>
      <c r="C184" s="36"/>
      <c r="D184" s="36"/>
      <c r="E184" s="36"/>
      <c r="F184" s="48"/>
    </row>
    <row r="185" spans="1:6" ht="12.75">
      <c r="A185" s="79" t="s">
        <v>26</v>
      </c>
      <c r="B185" s="148">
        <f t="shared" si="9"/>
        <v>0</v>
      </c>
      <c r="C185" s="36"/>
      <c r="D185" s="36"/>
      <c r="E185" s="36"/>
      <c r="F185" s="48"/>
    </row>
    <row r="186" spans="1:6" ht="13.5">
      <c r="A186" s="78" t="s">
        <v>0</v>
      </c>
      <c r="B186" s="144">
        <f t="shared" si="9"/>
        <v>1.76453</v>
      </c>
      <c r="C186" s="38"/>
      <c r="D186" s="39"/>
      <c r="E186" s="38">
        <v>0.894566</v>
      </c>
      <c r="F186" s="27">
        <v>0.869964</v>
      </c>
    </row>
    <row r="187" spans="1:6" ht="13.5">
      <c r="A187" s="82" t="s">
        <v>12</v>
      </c>
      <c r="B187" s="163">
        <f t="shared" si="9"/>
        <v>0.196005</v>
      </c>
      <c r="C187" s="38">
        <f>C188</f>
        <v>0</v>
      </c>
      <c r="D187" s="39">
        <f>D188</f>
        <v>0</v>
      </c>
      <c r="E187" s="39">
        <f>E188</f>
        <v>0.088483</v>
      </c>
      <c r="F187" s="49">
        <f>F188</f>
        <v>0.107522</v>
      </c>
    </row>
    <row r="188" spans="1:6" ht="12.75">
      <c r="A188" s="79" t="s">
        <v>13</v>
      </c>
      <c r="B188" s="148">
        <f t="shared" si="9"/>
        <v>0.196005</v>
      </c>
      <c r="C188" s="36"/>
      <c r="D188" s="40"/>
      <c r="E188" s="40">
        <v>0.088483</v>
      </c>
      <c r="F188" s="47">
        <v>0.107522</v>
      </c>
    </row>
    <row r="189" spans="1:6" ht="13.5" thickBot="1">
      <c r="A189" s="80" t="s">
        <v>14</v>
      </c>
      <c r="B189" s="155">
        <f t="shared" si="9"/>
        <v>0.33299999999999996</v>
      </c>
      <c r="C189" s="42"/>
      <c r="D189" s="43"/>
      <c r="E189" s="43">
        <v>0.15</v>
      </c>
      <c r="F189" s="50">
        <v>0.183</v>
      </c>
    </row>
    <row r="190" spans="1:6" ht="13.5" thickBot="1">
      <c r="A190" s="72" t="s">
        <v>30</v>
      </c>
      <c r="B190" s="141">
        <f t="shared" si="9"/>
        <v>0.370596</v>
      </c>
      <c r="C190" s="45">
        <f>C191+C199+C200</f>
        <v>0</v>
      </c>
      <c r="D190" s="45">
        <f>D191+D199+D200</f>
        <v>0</v>
      </c>
      <c r="E190" s="45">
        <f>E191+E199+E200</f>
        <v>0.341931</v>
      </c>
      <c r="F190" s="46">
        <f>F191+F199+F200</f>
        <v>0.028665</v>
      </c>
    </row>
    <row r="191" spans="1:6" ht="13.5">
      <c r="A191" s="78" t="s">
        <v>10</v>
      </c>
      <c r="B191" s="159">
        <f aca="true" t="shared" si="10" ref="B191:B199">SUM(C191:F191)</f>
        <v>0.029209</v>
      </c>
      <c r="C191" s="38">
        <f>C192+C193+C194+C195+C196+C197+C198</f>
        <v>0</v>
      </c>
      <c r="D191" s="39">
        <f>D192+D193+D194+D195+D196+D197+D198</f>
        <v>0</v>
      </c>
      <c r="E191" s="39">
        <f>E192+E193+E194+E195+E196+E197+E198</f>
        <v>0.000569</v>
      </c>
      <c r="F191" s="49">
        <f>F192+F193+F194+F195+F196+F197+F198</f>
        <v>0.02864</v>
      </c>
    </row>
    <row r="192" spans="1:6" ht="12.75">
      <c r="A192" s="79" t="s">
        <v>4</v>
      </c>
      <c r="B192" s="148">
        <f t="shared" si="10"/>
        <v>0.02064</v>
      </c>
      <c r="C192" s="36"/>
      <c r="D192" s="40"/>
      <c r="E192" s="40"/>
      <c r="F192" s="47">
        <f>0.02064+0</f>
        <v>0.02064</v>
      </c>
    </row>
    <row r="193" spans="1:6" ht="12.75">
      <c r="A193" s="79" t="s">
        <v>17</v>
      </c>
      <c r="B193" s="148">
        <f t="shared" si="10"/>
        <v>0</v>
      </c>
      <c r="C193" s="36"/>
      <c r="D193" s="40"/>
      <c r="E193" s="40"/>
      <c r="F193" s="47"/>
    </row>
    <row r="194" spans="1:6" ht="12.75">
      <c r="A194" s="79" t="s">
        <v>5</v>
      </c>
      <c r="B194" s="148">
        <f t="shared" si="10"/>
        <v>0.000569</v>
      </c>
      <c r="C194" s="36"/>
      <c r="D194" s="40"/>
      <c r="E194" s="40">
        <v>0.000569</v>
      </c>
      <c r="F194" s="47"/>
    </row>
    <row r="195" spans="1:6" ht="12.75">
      <c r="A195" s="79" t="s">
        <v>23</v>
      </c>
      <c r="B195" s="148">
        <f t="shared" si="10"/>
        <v>0</v>
      </c>
      <c r="C195" s="36"/>
      <c r="D195" s="36"/>
      <c r="E195" s="36"/>
      <c r="F195" s="48"/>
    </row>
    <row r="196" spans="1:6" ht="12.75">
      <c r="A196" s="79" t="s">
        <v>24</v>
      </c>
      <c r="B196" s="148">
        <f t="shared" si="10"/>
        <v>0</v>
      </c>
      <c r="C196" s="36"/>
      <c r="D196" s="36"/>
      <c r="E196" s="36"/>
      <c r="F196" s="48"/>
    </row>
    <row r="197" spans="1:6" ht="12.75">
      <c r="A197" s="79" t="s">
        <v>25</v>
      </c>
      <c r="B197" s="148">
        <f t="shared" si="10"/>
        <v>0</v>
      </c>
      <c r="C197" s="36"/>
      <c r="D197" s="36"/>
      <c r="E197" s="36"/>
      <c r="F197" s="48"/>
    </row>
    <row r="198" spans="1:6" ht="12.75">
      <c r="A198" s="79" t="s">
        <v>26</v>
      </c>
      <c r="B198" s="148">
        <f t="shared" si="10"/>
        <v>0.008</v>
      </c>
      <c r="C198" s="36"/>
      <c r="D198" s="36"/>
      <c r="E198" s="36"/>
      <c r="F198" s="48">
        <v>0.008</v>
      </c>
    </row>
    <row r="199" spans="1:6" ht="13.5">
      <c r="A199" s="83" t="s">
        <v>0</v>
      </c>
      <c r="B199" s="167">
        <f t="shared" si="10"/>
        <v>0.256927</v>
      </c>
      <c r="C199" s="38"/>
      <c r="D199" s="39"/>
      <c r="E199" s="26">
        <v>0.256902</v>
      </c>
      <c r="F199" s="27">
        <v>2.5E-05</v>
      </c>
    </row>
    <row r="200" spans="1:6" ht="13.5">
      <c r="A200" s="82" t="s">
        <v>12</v>
      </c>
      <c r="B200" s="163">
        <f>SUM(C200:F200)</f>
        <v>0.08446</v>
      </c>
      <c r="C200" s="38">
        <f>C201</f>
        <v>0</v>
      </c>
      <c r="D200" s="39">
        <f>D201</f>
        <v>0</v>
      </c>
      <c r="E200" s="39">
        <f>E201</f>
        <v>0.08446</v>
      </c>
      <c r="F200" s="49">
        <f>F201</f>
        <v>0</v>
      </c>
    </row>
    <row r="201" spans="1:6" ht="12.75">
      <c r="A201" s="79" t="s">
        <v>13</v>
      </c>
      <c r="B201" s="148">
        <f>SUM(C201:F201)</f>
        <v>0.08446</v>
      </c>
      <c r="C201" s="36"/>
      <c r="D201" s="40"/>
      <c r="E201" s="40">
        <v>0.08446</v>
      </c>
      <c r="F201" s="47"/>
    </row>
    <row r="202" spans="1:6" ht="13.5" thickBot="1">
      <c r="A202" s="80" t="s">
        <v>14</v>
      </c>
      <c r="B202" s="155">
        <f>SUM(C202:F202)</f>
        <v>0.217</v>
      </c>
      <c r="C202" s="42"/>
      <c r="D202" s="43"/>
      <c r="E202" s="43">
        <v>0.217</v>
      </c>
      <c r="F202" s="50"/>
    </row>
  </sheetData>
  <sheetProtection/>
  <mergeCells count="3">
    <mergeCell ref="B4:F4"/>
    <mergeCell ref="A5:A6"/>
    <mergeCell ref="B5:F5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zoomScale="86" zoomScaleNormal="86" zoomScalePageLayoutView="0" workbookViewId="0" topLeftCell="A1">
      <selection activeCell="F36" sqref="F36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16384" width="9.140625" style="1" customWidth="1"/>
  </cols>
  <sheetData>
    <row r="1" spans="1:6" s="12" customFormat="1" ht="15.75">
      <c r="A1" s="9" t="s">
        <v>48</v>
      </c>
      <c r="B1" s="13"/>
      <c r="C1" s="14"/>
      <c r="D1" s="14"/>
      <c r="E1" s="14"/>
      <c r="F1" s="14"/>
    </row>
    <row r="2" spans="1:6" s="3" customFormat="1" ht="15.75" customHeight="1">
      <c r="A2" s="16" t="s">
        <v>37</v>
      </c>
      <c r="B2" s="11"/>
      <c r="C2" s="11"/>
      <c r="D2" s="11"/>
      <c r="E2" s="11"/>
      <c r="F2" s="11"/>
    </row>
    <row r="3" spans="1:6" s="3" customFormat="1" ht="15.75" customHeight="1" thickBot="1">
      <c r="A3" s="6"/>
      <c r="B3" s="10"/>
      <c r="C3" s="10"/>
      <c r="D3" s="10"/>
      <c r="E3" s="10"/>
      <c r="F3" s="10"/>
    </row>
    <row r="4" spans="1:6" s="2" customFormat="1" ht="15.75" customHeight="1" thickBot="1">
      <c r="A4" s="7"/>
      <c r="B4" s="256" t="s">
        <v>47</v>
      </c>
      <c r="C4" s="257"/>
      <c r="D4" s="257"/>
      <c r="E4" s="257"/>
      <c r="F4" s="258"/>
    </row>
    <row r="5" spans="1:6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</row>
    <row r="6" spans="1:6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</row>
    <row r="7" spans="1:6" ht="13.5" thickBot="1">
      <c r="A7" s="54" t="s">
        <v>31</v>
      </c>
      <c r="B7" s="44">
        <f aca="true" t="shared" si="0" ref="B7:F19">B31+B47+B60+B73+B86+B99+B112+B125+B138+B151+B164+B177+B190</f>
        <v>96.60773499999999</v>
      </c>
      <c r="C7" s="45">
        <f t="shared" si="0"/>
        <v>30.315335</v>
      </c>
      <c r="D7" s="45">
        <f t="shared" si="0"/>
        <v>0.43259899999999996</v>
      </c>
      <c r="E7" s="46">
        <f t="shared" si="0"/>
        <v>25.76004</v>
      </c>
      <c r="F7" s="46">
        <f>F8+F16+F20+F17</f>
        <v>40.099761</v>
      </c>
    </row>
    <row r="8" spans="1:6" ht="13.5">
      <c r="A8" s="55" t="s">
        <v>10</v>
      </c>
      <c r="B8" s="17">
        <f>SUM(C8:F8)</f>
        <v>32.246388</v>
      </c>
      <c r="C8" s="18">
        <f>C9+C10+C11+C12+C13+C14+C15</f>
        <v>0.083672</v>
      </c>
      <c r="D8" s="18">
        <f>D9+D10+D11+D12+D13+D14+D15</f>
        <v>0.00084</v>
      </c>
      <c r="E8" s="18">
        <f>E9+E10+E11+E12+E13+E14+E15</f>
        <v>1.9407950000000003</v>
      </c>
      <c r="F8" s="19">
        <f>F9+F10+F11+F12+F13+F14+F15</f>
        <v>30.221081</v>
      </c>
    </row>
    <row r="9" spans="1:6" ht="12.75">
      <c r="A9" s="56" t="s">
        <v>4</v>
      </c>
      <c r="B9" s="20">
        <f>SUM(C9:F9)</f>
        <v>11.350861</v>
      </c>
      <c r="C9" s="21">
        <f>C33+C49+C62+C75+C88+C101+C114+C127+C140+C153+C166+C179+C192</f>
        <v>0.004752</v>
      </c>
      <c r="D9" s="21">
        <f t="shared" si="0"/>
        <v>0</v>
      </c>
      <c r="E9" s="21">
        <f t="shared" si="0"/>
        <v>0.939204</v>
      </c>
      <c r="F9" s="22">
        <f t="shared" si="0"/>
        <v>10.406905</v>
      </c>
    </row>
    <row r="10" spans="1:6" ht="12.75">
      <c r="A10" s="56" t="s">
        <v>11</v>
      </c>
      <c r="B10" s="20">
        <f>SUM(C10:F10)</f>
        <v>0.8176720000000002</v>
      </c>
      <c r="C10" s="21">
        <f t="shared" si="0"/>
        <v>0</v>
      </c>
      <c r="D10" s="21">
        <f t="shared" si="0"/>
        <v>0</v>
      </c>
      <c r="E10" s="21">
        <f t="shared" si="0"/>
        <v>0.39860400000000007</v>
      </c>
      <c r="F10" s="22">
        <f t="shared" si="0"/>
        <v>0.41906800000000005</v>
      </c>
    </row>
    <row r="11" spans="1:6" ht="12.75">
      <c r="A11" s="56" t="s">
        <v>5</v>
      </c>
      <c r="B11" s="20">
        <f>SUM(C11:F11)</f>
        <v>19.679409999999997</v>
      </c>
      <c r="C11" s="21">
        <f t="shared" si="0"/>
        <v>0.015562</v>
      </c>
      <c r="D11" s="21">
        <f t="shared" si="0"/>
        <v>0.00084</v>
      </c>
      <c r="E11" s="21">
        <f t="shared" si="0"/>
        <v>0.33301800000000004</v>
      </c>
      <c r="F11" s="22">
        <f t="shared" si="0"/>
        <v>19.32999</v>
      </c>
    </row>
    <row r="12" spans="1:6" ht="12.75">
      <c r="A12" s="56" t="s">
        <v>23</v>
      </c>
      <c r="B12" s="20">
        <f aca="true" t="shared" si="1" ref="B12:B22">SUM(C12:F12)</f>
        <v>0.029332999999999998</v>
      </c>
      <c r="C12" s="21">
        <f t="shared" si="0"/>
        <v>0</v>
      </c>
      <c r="D12" s="21">
        <f t="shared" si="0"/>
        <v>0</v>
      </c>
      <c r="E12" s="21">
        <f t="shared" si="0"/>
        <v>0.029332999999999998</v>
      </c>
      <c r="F12" s="22">
        <f t="shared" si="0"/>
        <v>0</v>
      </c>
    </row>
    <row r="13" spans="1:6" ht="12.75">
      <c r="A13" s="56" t="s">
        <v>24</v>
      </c>
      <c r="B13" s="20">
        <f t="shared" si="1"/>
        <v>0.173924</v>
      </c>
      <c r="C13" s="21">
        <f t="shared" si="0"/>
        <v>0</v>
      </c>
      <c r="D13" s="21">
        <f t="shared" si="0"/>
        <v>0</v>
      </c>
      <c r="E13" s="21">
        <f t="shared" si="0"/>
        <v>0.117769</v>
      </c>
      <c r="F13" s="22">
        <f t="shared" si="0"/>
        <v>0.056155</v>
      </c>
    </row>
    <row r="14" spans="1:6" ht="12.75">
      <c r="A14" s="56" t="s">
        <v>25</v>
      </c>
      <c r="B14" s="20">
        <f t="shared" si="1"/>
        <v>0.175262</v>
      </c>
      <c r="C14" s="21">
        <f t="shared" si="0"/>
        <v>0.059939</v>
      </c>
      <c r="D14" s="21">
        <f t="shared" si="0"/>
        <v>0</v>
      </c>
      <c r="E14" s="21">
        <f t="shared" si="0"/>
        <v>0.108977</v>
      </c>
      <c r="F14" s="22">
        <f t="shared" si="0"/>
        <v>0.006346</v>
      </c>
    </row>
    <row r="15" spans="1:6" ht="12.75">
      <c r="A15" s="56" t="s">
        <v>26</v>
      </c>
      <c r="B15" s="20">
        <f t="shared" si="1"/>
        <v>0.019926</v>
      </c>
      <c r="C15" s="21">
        <f t="shared" si="0"/>
        <v>0.0034189999999999997</v>
      </c>
      <c r="D15" s="21">
        <f t="shared" si="0"/>
        <v>0</v>
      </c>
      <c r="E15" s="21">
        <f t="shared" si="0"/>
        <v>0.01389</v>
      </c>
      <c r="F15" s="22">
        <f t="shared" si="0"/>
        <v>0.0026169999999999995</v>
      </c>
    </row>
    <row r="16" spans="1:6" ht="13.5">
      <c r="A16" s="55" t="s">
        <v>0</v>
      </c>
      <c r="B16" s="23">
        <f t="shared" si="1"/>
        <v>40.242969</v>
      </c>
      <c r="C16" s="202">
        <f t="shared" si="0"/>
        <v>15.844382</v>
      </c>
      <c r="D16" s="202">
        <f t="shared" si="0"/>
        <v>0.32473599999999997</v>
      </c>
      <c r="E16" s="202">
        <f t="shared" si="0"/>
        <v>15.352362999999999</v>
      </c>
      <c r="F16" s="203">
        <f t="shared" si="0"/>
        <v>8.721487999999999</v>
      </c>
    </row>
    <row r="17" spans="1:6" ht="13.5">
      <c r="A17" s="55" t="s">
        <v>12</v>
      </c>
      <c r="B17" s="23">
        <f t="shared" si="1"/>
        <v>22.861150999999996</v>
      </c>
      <c r="C17" s="24">
        <f t="shared" si="0"/>
        <v>13.130054</v>
      </c>
      <c r="D17" s="24">
        <f t="shared" si="0"/>
        <v>0.107023</v>
      </c>
      <c r="E17" s="24">
        <f t="shared" si="0"/>
        <v>8.466882</v>
      </c>
      <c r="F17" s="25">
        <f t="shared" si="0"/>
        <v>1.157192</v>
      </c>
    </row>
    <row r="18" spans="1:6" ht="13.5">
      <c r="A18" s="56" t="s">
        <v>13</v>
      </c>
      <c r="B18" s="204">
        <f t="shared" si="1"/>
        <v>22.861150999999996</v>
      </c>
      <c r="C18" s="24">
        <f t="shared" si="0"/>
        <v>13.130054</v>
      </c>
      <c r="D18" s="24">
        <f t="shared" si="0"/>
        <v>0.107023</v>
      </c>
      <c r="E18" s="24">
        <f t="shared" si="0"/>
        <v>8.466882</v>
      </c>
      <c r="F18" s="25">
        <f t="shared" si="0"/>
        <v>1.157192</v>
      </c>
    </row>
    <row r="19" spans="1:6" ht="12.75">
      <c r="A19" s="57" t="s">
        <v>14</v>
      </c>
      <c r="B19" s="58">
        <f>SUM(C19:F19)</f>
        <v>32.287</v>
      </c>
      <c r="C19" s="21">
        <f t="shared" si="0"/>
        <v>16.779</v>
      </c>
      <c r="D19" s="21">
        <f t="shared" si="0"/>
        <v>0.181</v>
      </c>
      <c r="E19" s="21">
        <f t="shared" si="0"/>
        <v>13.277</v>
      </c>
      <c r="F19" s="22">
        <f t="shared" si="0"/>
        <v>2.05</v>
      </c>
    </row>
    <row r="20" spans="1:6" ht="13.5">
      <c r="A20" s="55" t="s">
        <v>15</v>
      </c>
      <c r="B20" s="23">
        <f t="shared" si="1"/>
        <v>1.257227</v>
      </c>
      <c r="C20" s="24">
        <f>C21</f>
        <v>1.257227</v>
      </c>
      <c r="D20" s="26"/>
      <c r="E20" s="26"/>
      <c r="F20" s="27"/>
    </row>
    <row r="21" spans="1:6" ht="12.75">
      <c r="A21" s="56" t="s">
        <v>13</v>
      </c>
      <c r="B21" s="20">
        <f t="shared" si="1"/>
        <v>1.257227</v>
      </c>
      <c r="C21" s="21">
        <f>C45</f>
        <v>1.257227</v>
      </c>
      <c r="D21" s="28"/>
      <c r="E21" s="28"/>
      <c r="F21" s="29"/>
    </row>
    <row r="22" spans="1:6" ht="12.75">
      <c r="A22" s="60" t="s">
        <v>16</v>
      </c>
      <c r="B22" s="58">
        <f t="shared" si="1"/>
        <v>2.629</v>
      </c>
      <c r="C22" s="59">
        <f>C46</f>
        <v>2.629</v>
      </c>
      <c r="D22" s="30"/>
      <c r="E22" s="30"/>
      <c r="F22" s="31"/>
    </row>
    <row r="23" spans="1:6" ht="13.5">
      <c r="A23" s="55" t="s">
        <v>32</v>
      </c>
      <c r="B23" s="23">
        <f>SUM(C23:F23)</f>
        <v>2.258248</v>
      </c>
      <c r="C23" s="24">
        <f>C24</f>
        <v>2.258248</v>
      </c>
      <c r="D23" s="26">
        <f>D24</f>
        <v>0</v>
      </c>
      <c r="E23" s="26">
        <f>E24</f>
        <v>0</v>
      </c>
      <c r="F23" s="27">
        <f>F24</f>
        <v>0</v>
      </c>
    </row>
    <row r="24" spans="1:6" ht="12.75">
      <c r="A24" s="56" t="s">
        <v>13</v>
      </c>
      <c r="B24" s="20">
        <f>SUM(C24:F24)</f>
        <v>2.258248</v>
      </c>
      <c r="C24" s="21">
        <f>C58</f>
        <v>2.258248</v>
      </c>
      <c r="D24" s="28"/>
      <c r="E24" s="28"/>
      <c r="F24" s="29"/>
    </row>
    <row r="25" spans="1:6" ht="13.5" thickBot="1">
      <c r="A25" s="61" t="s">
        <v>14</v>
      </c>
      <c r="B25" s="32">
        <f>SUM(C25:F25)</f>
        <v>5.198</v>
      </c>
      <c r="C25" s="62">
        <f>C59</f>
        <v>5.198</v>
      </c>
      <c r="D25" s="33"/>
      <c r="E25" s="33"/>
      <c r="F25" s="34"/>
    </row>
    <row r="26" spans="1:6" ht="13.5" hidden="1" thickBot="1">
      <c r="A26" s="88"/>
      <c r="B26" s="89"/>
      <c r="C26" s="90"/>
      <c r="D26" s="91"/>
      <c r="E26" s="91"/>
      <c r="F26" s="92"/>
    </row>
    <row r="27" spans="1:6" ht="13.5" hidden="1" thickBot="1">
      <c r="A27" s="93"/>
      <c r="B27" s="94"/>
      <c r="C27" s="95"/>
      <c r="D27" s="96"/>
      <c r="E27" s="96"/>
      <c r="F27" s="97"/>
    </row>
    <row r="28" spans="1:6" ht="14.25" hidden="1" thickBot="1">
      <c r="A28" s="98"/>
      <c r="B28" s="99"/>
      <c r="C28" s="100"/>
      <c r="D28" s="101"/>
      <c r="E28" s="101"/>
      <c r="F28" s="102"/>
    </row>
    <row r="29" spans="1:6" ht="15.75" hidden="1" thickBot="1">
      <c r="A29" s="103"/>
      <c r="B29" s="104"/>
      <c r="C29" s="105"/>
      <c r="D29" s="106"/>
      <c r="E29" s="107"/>
      <c r="F29" s="108"/>
    </row>
    <row r="30" spans="1:6" ht="13.5" hidden="1" thickBot="1">
      <c r="A30" s="109"/>
      <c r="B30" s="110"/>
      <c r="C30" s="111"/>
      <c r="D30" s="112"/>
      <c r="E30" s="112"/>
      <c r="F30" s="113"/>
    </row>
    <row r="31" spans="1:6" ht="15" customHeight="1" thickBot="1">
      <c r="A31" s="63" t="s">
        <v>39</v>
      </c>
      <c r="B31" s="114">
        <f>SUM(C31:F31)</f>
        <v>58.13531999999999</v>
      </c>
      <c r="C31" s="115">
        <f>C32+C40+C44+C41</f>
        <v>14.050793</v>
      </c>
      <c r="D31" s="115">
        <f>D32+D40+D44+D41</f>
        <v>0.42283699999999996</v>
      </c>
      <c r="E31" s="115">
        <f>E32+E40+E44+E41</f>
        <v>17.010351</v>
      </c>
      <c r="F31" s="116">
        <f>F32+F40+F44+F41</f>
        <v>26.651338999999997</v>
      </c>
    </row>
    <row r="32" spans="1:6" ht="13.5">
      <c r="A32" s="55" t="s">
        <v>10</v>
      </c>
      <c r="B32" s="117">
        <f>SUM(C32:F32)</f>
        <v>20.619222999999998</v>
      </c>
      <c r="C32" s="118">
        <f>C33+C34+C35+C36+C37+C38+C39</f>
        <v>0.023195</v>
      </c>
      <c r="D32" s="118">
        <f>D33+D34+D35+D36+D37+D38+D39</f>
        <v>0.00084</v>
      </c>
      <c r="E32" s="118">
        <f>E33+E34+E35+E36+E37+E38+E39</f>
        <v>0.642652</v>
      </c>
      <c r="F32" s="194">
        <f>F33+F34+F35+F36+F37+F38+F39</f>
        <v>19.952536</v>
      </c>
    </row>
    <row r="33" spans="1:6" ht="12.75">
      <c r="A33" s="56" t="s">
        <v>4</v>
      </c>
      <c r="B33" s="121">
        <f>SUM(C33:F33)</f>
        <v>5.016325</v>
      </c>
      <c r="C33" s="122">
        <v>0.004752</v>
      </c>
      <c r="D33" s="122"/>
      <c r="E33" s="122">
        <f>0.017209+0.176552</f>
        <v>0.193761</v>
      </c>
      <c r="F33" s="123">
        <f>0.007574+4.810238</f>
        <v>4.817812</v>
      </c>
    </row>
    <row r="34" spans="1:6" ht="12.75">
      <c r="A34" s="56" t="s">
        <v>11</v>
      </c>
      <c r="B34" s="121">
        <f>SUM(C34:F34)</f>
        <v>0.067795</v>
      </c>
      <c r="C34" s="122"/>
      <c r="D34" s="122"/>
      <c r="E34" s="122">
        <v>0.01384</v>
      </c>
      <c r="F34" s="123">
        <f>0.002684+0.051271</f>
        <v>0.053954999999999996</v>
      </c>
    </row>
    <row r="35" spans="1:6" ht="12.75">
      <c r="A35" s="56" t="s">
        <v>5</v>
      </c>
      <c r="B35" s="121">
        <f>SUM(C35:F35)</f>
        <v>15.332691</v>
      </c>
      <c r="C35" s="122">
        <f>0.000204+0.015358</f>
        <v>0.015562</v>
      </c>
      <c r="D35" s="122">
        <v>0.00084</v>
      </c>
      <c r="E35" s="122">
        <f>0.038695+0.248123</f>
        <v>0.286818</v>
      </c>
      <c r="F35" s="123">
        <f>0.006405+15.023066</f>
        <v>15.029471000000001</v>
      </c>
    </row>
    <row r="36" spans="1:6" ht="12.75">
      <c r="A36" s="56" t="s">
        <v>23</v>
      </c>
      <c r="B36" s="121">
        <f>SUM(C36:F36)</f>
        <v>0.029332999999999998</v>
      </c>
      <c r="C36" s="122"/>
      <c r="D36" s="122"/>
      <c r="E36" s="122">
        <v>0.029332999999999998</v>
      </c>
      <c r="F36" s="123"/>
    </row>
    <row r="37" spans="1:6" ht="12.75">
      <c r="A37" s="56" t="s">
        <v>24</v>
      </c>
      <c r="B37" s="121">
        <f>SUM(C37:F37)</f>
        <v>0.150488</v>
      </c>
      <c r="C37" s="122"/>
      <c r="D37" s="122"/>
      <c r="E37" s="122">
        <v>0.106376</v>
      </c>
      <c r="F37" s="123">
        <v>0.044112</v>
      </c>
    </row>
    <row r="38" spans="1:6" ht="12.75">
      <c r="A38" s="56" t="s">
        <v>25</v>
      </c>
      <c r="B38" s="121">
        <f>SUM(C38:F38)</f>
        <v>0.006346</v>
      </c>
      <c r="C38" s="122"/>
      <c r="D38" s="122"/>
      <c r="E38" s="122"/>
      <c r="F38" s="123">
        <v>0.006346</v>
      </c>
    </row>
    <row r="39" spans="1:6" ht="12.75">
      <c r="A39" s="56" t="s">
        <v>26</v>
      </c>
      <c r="B39" s="121">
        <f>SUM(C39:F39)</f>
        <v>0.016245</v>
      </c>
      <c r="C39" s="122">
        <v>0.002881</v>
      </c>
      <c r="D39" s="122"/>
      <c r="E39" s="122">
        <v>0.012523999999999999</v>
      </c>
      <c r="F39" s="123">
        <v>0.0008399999999999999</v>
      </c>
    </row>
    <row r="40" spans="1:6" ht="13.5">
      <c r="A40" s="55" t="s">
        <v>0</v>
      </c>
      <c r="B40" s="124">
        <f aca="true" t="shared" si="2" ref="B40:B51">SUM(C40:F40)</f>
        <v>22.998864</v>
      </c>
      <c r="C40" s="127">
        <f>0.34994+7.471754</f>
        <v>7.821694</v>
      </c>
      <c r="D40" s="127">
        <f>0.015763+0.299211</f>
        <v>0.314974</v>
      </c>
      <c r="E40" s="127">
        <f>0.700525+8.217899</f>
        <v>8.918424</v>
      </c>
      <c r="F40" s="128">
        <f>0.362263+5.581509</f>
        <v>5.943771999999999</v>
      </c>
    </row>
    <row r="41" spans="1:6" ht="13.5">
      <c r="A41" s="55" t="s">
        <v>12</v>
      </c>
      <c r="B41" s="124">
        <f t="shared" si="2"/>
        <v>13.260006</v>
      </c>
      <c r="C41" s="127">
        <f>C42</f>
        <v>4.948677</v>
      </c>
      <c r="D41" s="127">
        <f>D42</f>
        <v>0.107023</v>
      </c>
      <c r="E41" s="127">
        <f>E42</f>
        <v>7.449275</v>
      </c>
      <c r="F41" s="128">
        <f>F42</f>
        <v>0.755031</v>
      </c>
    </row>
    <row r="42" spans="1:6" ht="12.75">
      <c r="A42" s="56" t="s">
        <v>13</v>
      </c>
      <c r="B42" s="121">
        <f t="shared" si="2"/>
        <v>13.260006</v>
      </c>
      <c r="C42" s="122">
        <f>6.205904-1.257227</f>
        <v>4.948677</v>
      </c>
      <c r="D42" s="130">
        <v>0.107023</v>
      </c>
      <c r="E42" s="130">
        <v>7.449275</v>
      </c>
      <c r="F42" s="131">
        <v>0.755031</v>
      </c>
    </row>
    <row r="43" spans="1:6" ht="12.75">
      <c r="A43" s="57" t="s">
        <v>14</v>
      </c>
      <c r="B43" s="132">
        <f t="shared" si="2"/>
        <v>18.251</v>
      </c>
      <c r="C43" s="129">
        <f>3.623+1.404+0</f>
        <v>5.027</v>
      </c>
      <c r="D43" s="133">
        <v>0.181</v>
      </c>
      <c r="E43" s="133">
        <f>10.971+0.695</f>
        <v>11.666</v>
      </c>
      <c r="F43" s="134">
        <f>1.254+0.123</f>
        <v>1.377</v>
      </c>
    </row>
    <row r="44" spans="1:6" ht="13.5">
      <c r="A44" s="55" t="s">
        <v>15</v>
      </c>
      <c r="B44" s="124">
        <f t="shared" si="2"/>
        <v>1.257227</v>
      </c>
      <c r="C44" s="127">
        <f>C45</f>
        <v>1.257227</v>
      </c>
      <c r="D44" s="125">
        <f>D45</f>
        <v>0</v>
      </c>
      <c r="E44" s="125">
        <f>E45</f>
        <v>0</v>
      </c>
      <c r="F44" s="135">
        <f>F45</f>
        <v>0</v>
      </c>
    </row>
    <row r="45" spans="1:6" ht="12.75">
      <c r="A45" s="56" t="s">
        <v>13</v>
      </c>
      <c r="B45" s="121">
        <f t="shared" si="2"/>
        <v>1.257227</v>
      </c>
      <c r="C45" s="122">
        <v>1.257227</v>
      </c>
      <c r="D45" s="130"/>
      <c r="E45" s="130"/>
      <c r="F45" s="136"/>
    </row>
    <row r="46" spans="1:6" ht="13.5" thickBot="1">
      <c r="A46" s="60" t="s">
        <v>14</v>
      </c>
      <c r="B46" s="137">
        <f t="shared" si="2"/>
        <v>2.629</v>
      </c>
      <c r="C46" s="138">
        <v>2.629</v>
      </c>
      <c r="D46" s="139"/>
      <c r="E46" s="139"/>
      <c r="F46" s="140"/>
    </row>
    <row r="47" spans="1:6" ht="13.5" thickBot="1">
      <c r="A47" s="72" t="s">
        <v>42</v>
      </c>
      <c r="B47" s="141">
        <f t="shared" si="2"/>
        <v>2.258248</v>
      </c>
      <c r="C47" s="142">
        <f>C48+C56+C57</f>
        <v>2.258248</v>
      </c>
      <c r="D47" s="142">
        <f>D48+D56+D57</f>
        <v>0</v>
      </c>
      <c r="E47" s="142">
        <f>E48+E56+E57</f>
        <v>0</v>
      </c>
      <c r="F47" s="143">
        <f>F48+F56+F57</f>
        <v>0</v>
      </c>
    </row>
    <row r="48" spans="1:6" ht="13.5">
      <c r="A48" s="55" t="s">
        <v>10</v>
      </c>
      <c r="B48" s="159">
        <f t="shared" si="2"/>
        <v>0</v>
      </c>
      <c r="C48" s="160">
        <f>C49+C50+C51+C52+C53+C54+C55</f>
        <v>0</v>
      </c>
      <c r="D48" s="160">
        <f>D49+D50+D51+D52+D53+D54+D55</f>
        <v>0</v>
      </c>
      <c r="E48" s="160">
        <f>E49+E50+E51+E52+E53+E54+E55</f>
        <v>0</v>
      </c>
      <c r="F48" s="166">
        <f>F49+F50+F51+F52+F53+F54+F55</f>
        <v>0</v>
      </c>
    </row>
    <row r="49" spans="1:6" ht="12.75">
      <c r="A49" s="56" t="s">
        <v>4</v>
      </c>
      <c r="B49" s="148">
        <f t="shared" si="2"/>
        <v>0</v>
      </c>
      <c r="C49" s="149"/>
      <c r="D49" s="150"/>
      <c r="E49" s="150"/>
      <c r="F49" s="151"/>
    </row>
    <row r="50" spans="1:6" ht="12.75">
      <c r="A50" s="56" t="s">
        <v>17</v>
      </c>
      <c r="B50" s="148">
        <f t="shared" si="2"/>
        <v>0</v>
      </c>
      <c r="C50" s="149"/>
      <c r="D50" s="150"/>
      <c r="E50" s="150"/>
      <c r="F50" s="151"/>
    </row>
    <row r="51" spans="1:6" ht="12.75">
      <c r="A51" s="56" t="s">
        <v>5</v>
      </c>
      <c r="B51" s="148">
        <f t="shared" si="2"/>
        <v>0</v>
      </c>
      <c r="C51" s="149"/>
      <c r="D51" s="150"/>
      <c r="E51" s="150"/>
      <c r="F51" s="151"/>
    </row>
    <row r="52" spans="1:6" ht="12.75">
      <c r="A52" s="56" t="s">
        <v>23</v>
      </c>
      <c r="B52" s="148">
        <f>SUM(C52:F52)</f>
        <v>0</v>
      </c>
      <c r="C52" s="149"/>
      <c r="D52" s="149"/>
      <c r="E52" s="149"/>
      <c r="F52" s="152"/>
    </row>
    <row r="53" spans="1:6" ht="12.75">
      <c r="A53" s="56" t="s">
        <v>24</v>
      </c>
      <c r="B53" s="148">
        <f>SUM(C53:F53)</f>
        <v>0</v>
      </c>
      <c r="C53" s="149"/>
      <c r="D53" s="149"/>
      <c r="E53" s="149"/>
      <c r="F53" s="152"/>
    </row>
    <row r="54" spans="1:6" ht="12.75">
      <c r="A54" s="56" t="s">
        <v>25</v>
      </c>
      <c r="B54" s="148">
        <f>SUM(C54:F54)</f>
        <v>0</v>
      </c>
      <c r="C54" s="149"/>
      <c r="D54" s="149"/>
      <c r="E54" s="149"/>
      <c r="F54" s="152"/>
    </row>
    <row r="55" spans="1:6" ht="12.75">
      <c r="A55" s="56" t="s">
        <v>26</v>
      </c>
      <c r="B55" s="148">
        <f>SUM(C55:F55)</f>
        <v>0</v>
      </c>
      <c r="C55" s="149"/>
      <c r="D55" s="149"/>
      <c r="E55" s="149"/>
      <c r="F55" s="152"/>
    </row>
    <row r="56" spans="1:6" ht="13.5">
      <c r="A56" s="55" t="s">
        <v>0</v>
      </c>
      <c r="B56" s="144">
        <f aca="true" t="shared" si="3" ref="B56:B64">SUM(C56:F56)</f>
        <v>0</v>
      </c>
      <c r="C56" s="145"/>
      <c r="D56" s="146"/>
      <c r="E56" s="153"/>
      <c r="F56" s="154"/>
    </row>
    <row r="57" spans="1:6" ht="13.5">
      <c r="A57" s="55" t="s">
        <v>12</v>
      </c>
      <c r="B57" s="144">
        <f t="shared" si="3"/>
        <v>2.258248</v>
      </c>
      <c r="C57" s="145">
        <f>C58</f>
        <v>2.258248</v>
      </c>
      <c r="D57" s="146">
        <f>D58</f>
        <v>0</v>
      </c>
      <c r="E57" s="146">
        <f>E58</f>
        <v>0</v>
      </c>
      <c r="F57" s="147">
        <f>F58</f>
        <v>0</v>
      </c>
    </row>
    <row r="58" spans="1:6" ht="12.75">
      <c r="A58" s="56" t="s">
        <v>13</v>
      </c>
      <c r="B58" s="148">
        <f t="shared" si="3"/>
        <v>2.258248</v>
      </c>
      <c r="C58" s="149">
        <v>2.258248</v>
      </c>
      <c r="D58" s="150"/>
      <c r="E58" s="150"/>
      <c r="F58" s="151"/>
    </row>
    <row r="59" spans="1:6" ht="13.5" thickBot="1">
      <c r="A59" s="73" t="s">
        <v>14</v>
      </c>
      <c r="B59" s="155">
        <f t="shared" si="3"/>
        <v>5.198</v>
      </c>
      <c r="C59" s="156">
        <v>5.198</v>
      </c>
      <c r="D59" s="157"/>
      <c r="E59" s="157"/>
      <c r="F59" s="158"/>
    </row>
    <row r="60" spans="1:6" ht="13.5" thickBot="1">
      <c r="A60" s="72" t="s">
        <v>27</v>
      </c>
      <c r="B60" s="141">
        <f t="shared" si="3"/>
        <v>11.718132</v>
      </c>
      <c r="C60" s="142">
        <f>C61+C69+C70</f>
        <v>6.792142</v>
      </c>
      <c r="D60" s="142">
        <f>D61+D69+D70</f>
        <v>0.009762</v>
      </c>
      <c r="E60" s="142">
        <f>E61+E69+E70</f>
        <v>1.8997680000000001</v>
      </c>
      <c r="F60" s="143">
        <f>F61+F69+F70</f>
        <v>3.01646</v>
      </c>
    </row>
    <row r="61" spans="1:6" ht="13.5">
      <c r="A61" s="78" t="s">
        <v>10</v>
      </c>
      <c r="B61" s="159">
        <f t="shared" si="3"/>
        <v>2.464622</v>
      </c>
      <c r="C61" s="160">
        <f>C62+C63+C64+C65+C66+C67+C68</f>
        <v>0</v>
      </c>
      <c r="D61" s="160">
        <f>D62+D63+D64+D65+D66+D67+D68</f>
        <v>0</v>
      </c>
      <c r="E61" s="160">
        <f>E62+E63+E64+E65+E66+E67+E68</f>
        <v>0.138655</v>
      </c>
      <c r="F61" s="166">
        <f>F62+F63+F64+F65+F66+F67+F68</f>
        <v>2.325967</v>
      </c>
    </row>
    <row r="62" spans="1:6" ht="12.75">
      <c r="A62" s="79" t="s">
        <v>4</v>
      </c>
      <c r="B62" s="148">
        <f t="shared" si="3"/>
        <v>2.3113360000000003</v>
      </c>
      <c r="C62" s="149"/>
      <c r="D62" s="149"/>
      <c r="E62" s="149">
        <v>0.128861</v>
      </c>
      <c r="F62" s="152">
        <v>2.182475</v>
      </c>
    </row>
    <row r="63" spans="1:6" ht="12.75">
      <c r="A63" s="79" t="s">
        <v>17</v>
      </c>
      <c r="B63" s="148">
        <f t="shared" si="3"/>
        <v>0.084764</v>
      </c>
      <c r="C63" s="149"/>
      <c r="D63" s="150"/>
      <c r="E63" s="150"/>
      <c r="F63" s="151">
        <v>0.084764</v>
      </c>
    </row>
    <row r="64" spans="1:6" ht="12.75">
      <c r="A64" s="79" t="s">
        <v>5</v>
      </c>
      <c r="B64" s="148">
        <f t="shared" si="3"/>
        <v>0.068522</v>
      </c>
      <c r="C64" s="149"/>
      <c r="D64" s="150"/>
      <c r="E64" s="150">
        <v>0.009794</v>
      </c>
      <c r="F64" s="151">
        <v>0.058728</v>
      </c>
    </row>
    <row r="65" spans="1:6" ht="12.75">
      <c r="A65" s="79" t="s">
        <v>23</v>
      </c>
      <c r="B65" s="148">
        <f>SUM(C65:F65)</f>
        <v>0</v>
      </c>
      <c r="C65" s="149"/>
      <c r="D65" s="149"/>
      <c r="E65" s="149"/>
      <c r="F65" s="152"/>
    </row>
    <row r="66" spans="1:6" ht="13.5" customHeight="1">
      <c r="A66" s="79" t="s">
        <v>24</v>
      </c>
      <c r="B66" s="148">
        <f>SUM(C66:F66)</f>
        <v>0</v>
      </c>
      <c r="C66" s="149"/>
      <c r="D66" s="149"/>
      <c r="E66" s="149"/>
      <c r="F66" s="152"/>
    </row>
    <row r="67" spans="1:6" ht="13.5" customHeight="1">
      <c r="A67" s="79" t="s">
        <v>25</v>
      </c>
      <c r="B67" s="148">
        <f>SUM(C67:F67)</f>
        <v>0</v>
      </c>
      <c r="C67" s="149"/>
      <c r="D67" s="149"/>
      <c r="E67" s="149"/>
      <c r="F67" s="152"/>
    </row>
    <row r="68" spans="1:6" ht="13.5" customHeight="1">
      <c r="A68" s="79" t="s">
        <v>26</v>
      </c>
      <c r="B68" s="148">
        <f>SUM(C68:F68)</f>
        <v>0</v>
      </c>
      <c r="C68" s="149"/>
      <c r="D68" s="149"/>
      <c r="E68" s="149"/>
      <c r="F68" s="152"/>
    </row>
    <row r="69" spans="1:6" ht="13.5" customHeight="1">
      <c r="A69" s="78" t="s">
        <v>0</v>
      </c>
      <c r="B69" s="144">
        <f>SUM(C69:F69)</f>
        <v>5.679227999999999</v>
      </c>
      <c r="C69" s="145">
        <v>3.452832</v>
      </c>
      <c r="D69" s="146">
        <v>0.009762</v>
      </c>
      <c r="E69" s="153">
        <v>1.56397</v>
      </c>
      <c r="F69" s="154">
        <v>0.652664</v>
      </c>
    </row>
    <row r="70" spans="1:6" ht="13.5" customHeight="1">
      <c r="A70" s="78" t="s">
        <v>34</v>
      </c>
      <c r="B70" s="144">
        <f>SUM(C70:F70)</f>
        <v>3.5742819999999997</v>
      </c>
      <c r="C70" s="145">
        <f>C71</f>
        <v>3.33931</v>
      </c>
      <c r="D70" s="146">
        <f>D71</f>
        <v>0</v>
      </c>
      <c r="E70" s="146">
        <f>E71</f>
        <v>0.197143</v>
      </c>
      <c r="F70" s="147">
        <f>F71</f>
        <v>0.037829</v>
      </c>
    </row>
    <row r="71" spans="1:6" ht="13.5" customHeight="1">
      <c r="A71" s="79" t="s">
        <v>13</v>
      </c>
      <c r="B71" s="148">
        <f>SUM(C71:F71)</f>
        <v>3.5742819999999997</v>
      </c>
      <c r="C71" s="145">
        <v>3.33931</v>
      </c>
      <c r="D71" s="146"/>
      <c r="E71" s="197">
        <v>0.197143</v>
      </c>
      <c r="F71" s="154">
        <v>0.037829</v>
      </c>
    </row>
    <row r="72" spans="1:6" ht="13.5" customHeight="1" thickBot="1">
      <c r="A72" s="80" t="s">
        <v>14</v>
      </c>
      <c r="B72" s="155">
        <f>SUM(C72:F72)</f>
        <v>4.383</v>
      </c>
      <c r="C72" s="156">
        <v>4.016</v>
      </c>
      <c r="D72" s="157"/>
      <c r="E72" s="157">
        <v>0.308</v>
      </c>
      <c r="F72" s="158">
        <v>0.059</v>
      </c>
    </row>
    <row r="73" spans="1:6" ht="18" customHeight="1" hidden="1" thickBot="1">
      <c r="A73" s="72" t="s">
        <v>33</v>
      </c>
      <c r="B73" s="141">
        <f>SUM(C73:F73)</f>
        <v>0</v>
      </c>
      <c r="C73" s="142">
        <f>C74+C82+C83</f>
        <v>0</v>
      </c>
      <c r="D73" s="142">
        <f>D74+D82+D83</f>
        <v>0</v>
      </c>
      <c r="E73" s="142">
        <f>E74+E82+E83</f>
        <v>0</v>
      </c>
      <c r="F73" s="143">
        <f>F74+F82+F83</f>
        <v>0</v>
      </c>
    </row>
    <row r="74" spans="1:6" ht="18" customHeight="1" hidden="1" thickBot="1">
      <c r="A74" s="78" t="s">
        <v>10</v>
      </c>
      <c r="B74" s="159">
        <f aca="true" t="shared" si="4" ref="B74:B85">SUM(C74:F74)</f>
        <v>0</v>
      </c>
      <c r="C74" s="160">
        <f>C75+C76+C77+C78+C79+C80+C81</f>
        <v>0</v>
      </c>
      <c r="D74" s="160">
        <f>D75+D76+D77+D78+D79+D80+D81</f>
        <v>0</v>
      </c>
      <c r="E74" s="160">
        <f>E75+E76+E77+E78+E79+E80+E81</f>
        <v>0</v>
      </c>
      <c r="F74" s="166">
        <f>F75+F76+F77+F78+F79+F80+F81</f>
        <v>0</v>
      </c>
    </row>
    <row r="75" spans="1:6" ht="18" customHeight="1" hidden="1" thickBot="1">
      <c r="A75" s="79" t="s">
        <v>4</v>
      </c>
      <c r="B75" s="148">
        <f t="shared" si="4"/>
        <v>0</v>
      </c>
      <c r="C75" s="149"/>
      <c r="D75" s="150"/>
      <c r="E75" s="150"/>
      <c r="F75" s="151"/>
    </row>
    <row r="76" spans="1:6" ht="18" customHeight="1" hidden="1" thickBot="1">
      <c r="A76" s="79" t="s">
        <v>17</v>
      </c>
      <c r="B76" s="148">
        <f t="shared" si="4"/>
        <v>0</v>
      </c>
      <c r="C76" s="149"/>
      <c r="D76" s="150"/>
      <c r="E76" s="150"/>
      <c r="F76" s="151"/>
    </row>
    <row r="77" spans="1:6" ht="18" customHeight="1" hidden="1" thickBot="1">
      <c r="A77" s="79" t="s">
        <v>5</v>
      </c>
      <c r="B77" s="148">
        <f t="shared" si="4"/>
        <v>0</v>
      </c>
      <c r="C77" s="149"/>
      <c r="D77" s="150"/>
      <c r="E77" s="150"/>
      <c r="F77" s="151"/>
    </row>
    <row r="78" spans="1:6" ht="18" customHeight="1" hidden="1" thickBot="1">
      <c r="A78" s="79" t="s">
        <v>23</v>
      </c>
      <c r="B78" s="148">
        <f t="shared" si="4"/>
        <v>0</v>
      </c>
      <c r="C78" s="149"/>
      <c r="D78" s="149"/>
      <c r="E78" s="149"/>
      <c r="F78" s="152"/>
    </row>
    <row r="79" spans="1:6" ht="18" customHeight="1" hidden="1" thickBot="1">
      <c r="A79" s="79" t="s">
        <v>24</v>
      </c>
      <c r="B79" s="148">
        <f t="shared" si="4"/>
        <v>0</v>
      </c>
      <c r="C79" s="149"/>
      <c r="D79" s="149"/>
      <c r="E79" s="149"/>
      <c r="F79" s="152"/>
    </row>
    <row r="80" spans="1:6" ht="18" customHeight="1" hidden="1" thickBot="1">
      <c r="A80" s="79" t="s">
        <v>25</v>
      </c>
      <c r="B80" s="148">
        <f t="shared" si="4"/>
        <v>0</v>
      </c>
      <c r="C80" s="149"/>
      <c r="D80" s="149"/>
      <c r="E80" s="149"/>
      <c r="F80" s="152"/>
    </row>
    <row r="81" spans="1:6" ht="13.5" hidden="1" thickBot="1">
      <c r="A81" s="79" t="s">
        <v>26</v>
      </c>
      <c r="B81" s="148">
        <f t="shared" si="4"/>
        <v>0</v>
      </c>
      <c r="C81" s="149"/>
      <c r="D81" s="149"/>
      <c r="E81" s="149"/>
      <c r="F81" s="152"/>
    </row>
    <row r="82" spans="1:6" ht="14.25" hidden="1" thickBot="1">
      <c r="A82" s="78" t="s">
        <v>0</v>
      </c>
      <c r="B82" s="144">
        <f t="shared" si="4"/>
        <v>0</v>
      </c>
      <c r="C82" s="145"/>
      <c r="D82" s="146"/>
      <c r="E82" s="153"/>
      <c r="F82" s="154"/>
    </row>
    <row r="83" spans="1:6" ht="14.25" hidden="1" thickBot="1">
      <c r="A83" s="78" t="s">
        <v>12</v>
      </c>
      <c r="B83" s="144">
        <f t="shared" si="4"/>
        <v>0</v>
      </c>
      <c r="C83" s="145">
        <f>C84</f>
        <v>0</v>
      </c>
      <c r="D83" s="146">
        <f>D84</f>
        <v>0</v>
      </c>
      <c r="E83" s="146">
        <f>E84</f>
        <v>0</v>
      </c>
      <c r="F83" s="147">
        <f>F84</f>
        <v>0</v>
      </c>
    </row>
    <row r="84" spans="1:6" ht="13.5" hidden="1" thickBot="1">
      <c r="A84" s="79" t="s">
        <v>13</v>
      </c>
      <c r="B84" s="148">
        <f t="shared" si="4"/>
        <v>0</v>
      </c>
      <c r="C84" s="149"/>
      <c r="D84" s="150"/>
      <c r="E84" s="150"/>
      <c r="F84" s="151"/>
    </row>
    <row r="85" spans="1:6" ht="13.5" hidden="1" thickBot="1">
      <c r="A85" s="80" t="s">
        <v>14</v>
      </c>
      <c r="B85" s="155">
        <f t="shared" si="4"/>
        <v>0</v>
      </c>
      <c r="C85" s="156"/>
      <c r="D85" s="157"/>
      <c r="E85" s="157"/>
      <c r="F85" s="158"/>
    </row>
    <row r="86" spans="1:6" ht="13.5" thickBot="1">
      <c r="A86" s="72" t="s">
        <v>35</v>
      </c>
      <c r="B86" s="141">
        <f>SUM(C86:F86)</f>
        <v>3.34838</v>
      </c>
      <c r="C86" s="142">
        <f>C87+C95+C96</f>
        <v>3.322239</v>
      </c>
      <c r="D86" s="142">
        <f>D87+D95+D96</f>
        <v>0</v>
      </c>
      <c r="E86" s="142">
        <f>E87+E95+E96</f>
        <v>0</v>
      </c>
      <c r="F86" s="143">
        <f>F87+F95+F96</f>
        <v>0.026141</v>
      </c>
    </row>
    <row r="87" spans="1:6" ht="13.5">
      <c r="A87" s="78" t="s">
        <v>10</v>
      </c>
      <c r="B87" s="159">
        <f aca="true" t="shared" si="5" ref="B87:B142">SUM(C87:F87)</f>
        <v>0</v>
      </c>
      <c r="C87" s="160">
        <f>C88+C89+C90+C91+C92+C93+C94</f>
        <v>0</v>
      </c>
      <c r="D87" s="160">
        <f>D88+D89+D90+D91+D92+D93+D94</f>
        <v>0</v>
      </c>
      <c r="E87" s="160">
        <f>E88+E89+E90+E91+E92+E93+E94</f>
        <v>0</v>
      </c>
      <c r="F87" s="166">
        <f>F88+F89+F90+F91+F92+F93+F94</f>
        <v>0</v>
      </c>
    </row>
    <row r="88" spans="1:6" ht="12.75">
      <c r="A88" s="79" t="s">
        <v>4</v>
      </c>
      <c r="B88" s="148">
        <f t="shared" si="5"/>
        <v>0</v>
      </c>
      <c r="C88" s="149"/>
      <c r="D88" s="150"/>
      <c r="E88" s="150"/>
      <c r="F88" s="151"/>
    </row>
    <row r="89" spans="1:6" ht="12.75">
      <c r="A89" s="79" t="s">
        <v>17</v>
      </c>
      <c r="B89" s="148">
        <f t="shared" si="5"/>
        <v>0</v>
      </c>
      <c r="C89" s="149"/>
      <c r="D89" s="150"/>
      <c r="E89" s="150"/>
      <c r="F89" s="151"/>
    </row>
    <row r="90" spans="1:6" ht="12.75">
      <c r="A90" s="79" t="s">
        <v>5</v>
      </c>
      <c r="B90" s="148">
        <f t="shared" si="5"/>
        <v>0</v>
      </c>
      <c r="C90" s="149"/>
      <c r="D90" s="150"/>
      <c r="E90" s="150"/>
      <c r="F90" s="151"/>
    </row>
    <row r="91" spans="1:6" ht="12.75">
      <c r="A91" s="79" t="s">
        <v>23</v>
      </c>
      <c r="B91" s="148">
        <f t="shared" si="5"/>
        <v>0</v>
      </c>
      <c r="C91" s="149"/>
      <c r="D91" s="149"/>
      <c r="E91" s="149"/>
      <c r="F91" s="152"/>
    </row>
    <row r="92" spans="1:6" ht="12.75">
      <c r="A92" s="79" t="s">
        <v>24</v>
      </c>
      <c r="B92" s="148">
        <f t="shared" si="5"/>
        <v>0</v>
      </c>
      <c r="C92" s="149"/>
      <c r="D92" s="149"/>
      <c r="E92" s="149"/>
      <c r="F92" s="152"/>
    </row>
    <row r="93" spans="1:6" ht="12.75">
      <c r="A93" s="79" t="s">
        <v>25</v>
      </c>
      <c r="B93" s="148">
        <f t="shared" si="5"/>
        <v>0</v>
      </c>
      <c r="C93" s="149"/>
      <c r="D93" s="149"/>
      <c r="E93" s="149"/>
      <c r="F93" s="152"/>
    </row>
    <row r="94" spans="1:6" ht="12.75">
      <c r="A94" s="79" t="s">
        <v>26</v>
      </c>
      <c r="B94" s="148">
        <f t="shared" si="5"/>
        <v>0</v>
      </c>
      <c r="C94" s="149"/>
      <c r="D94" s="149"/>
      <c r="E94" s="149"/>
      <c r="F94" s="152"/>
    </row>
    <row r="95" spans="1:6" ht="13.5">
      <c r="A95" s="78" t="s">
        <v>0</v>
      </c>
      <c r="B95" s="144">
        <f t="shared" si="5"/>
        <v>0.922993</v>
      </c>
      <c r="C95" s="145">
        <v>0.896852</v>
      </c>
      <c r="D95" s="146"/>
      <c r="E95" s="153"/>
      <c r="F95" s="154">
        <v>0.026141</v>
      </c>
    </row>
    <row r="96" spans="1:6" ht="13.5">
      <c r="A96" s="78" t="s">
        <v>12</v>
      </c>
      <c r="B96" s="144">
        <f t="shared" si="5"/>
        <v>2.425387</v>
      </c>
      <c r="C96" s="145">
        <f>C97</f>
        <v>2.425387</v>
      </c>
      <c r="D96" s="146">
        <f>D97</f>
        <v>0</v>
      </c>
      <c r="E96" s="146">
        <f>E97</f>
        <v>0</v>
      </c>
      <c r="F96" s="147">
        <f>F97</f>
        <v>0</v>
      </c>
    </row>
    <row r="97" spans="1:6" ht="12.75">
      <c r="A97" s="79" t="s">
        <v>13</v>
      </c>
      <c r="B97" s="148">
        <f t="shared" si="5"/>
        <v>2.425387</v>
      </c>
      <c r="C97" s="149">
        <v>2.425387</v>
      </c>
      <c r="D97" s="150"/>
      <c r="E97" s="150"/>
      <c r="F97" s="151"/>
    </row>
    <row r="98" spans="1:6" ht="13.5" thickBot="1">
      <c r="A98" s="80" t="s">
        <v>14</v>
      </c>
      <c r="B98" s="155">
        <f t="shared" si="5"/>
        <v>2.311</v>
      </c>
      <c r="C98" s="156">
        <v>2.311</v>
      </c>
      <c r="D98" s="157"/>
      <c r="E98" s="157"/>
      <c r="F98" s="158"/>
    </row>
    <row r="99" spans="1:6" ht="13.5" thickBot="1">
      <c r="A99" s="72" t="s">
        <v>18</v>
      </c>
      <c r="B99" s="141">
        <f t="shared" si="5"/>
        <v>4.527286999999999</v>
      </c>
      <c r="C99" s="142">
        <f>C100+C108+C109</f>
        <v>0.425425</v>
      </c>
      <c r="D99" s="142">
        <f>D100+D108+D109</f>
        <v>0</v>
      </c>
      <c r="E99" s="142">
        <f>E100+E108+E109</f>
        <v>1.4767019999999997</v>
      </c>
      <c r="F99" s="143">
        <f>F100+F108+F109</f>
        <v>2.62516</v>
      </c>
    </row>
    <row r="100" spans="1:6" ht="13.5">
      <c r="A100" s="78" t="s">
        <v>10</v>
      </c>
      <c r="B100" s="159">
        <f t="shared" si="5"/>
        <v>2.023424</v>
      </c>
      <c r="C100" s="160">
        <f>C101+C102+C103+C104+C105+C106+C107</f>
        <v>0.059939</v>
      </c>
      <c r="D100" s="160">
        <f>D101+D102+D103+D104+D105+D106+D107</f>
        <v>0</v>
      </c>
      <c r="E100" s="160">
        <f>E101+E102+E103+E104+E105+E106+E107</f>
        <v>0.129009</v>
      </c>
      <c r="F100" s="166">
        <f>F101+F102+F103+F104+F105+F106+F107</f>
        <v>1.834476</v>
      </c>
    </row>
    <row r="101" spans="1:6" ht="12.75">
      <c r="A101" s="79" t="s">
        <v>4</v>
      </c>
      <c r="B101" s="148">
        <f t="shared" si="5"/>
        <v>1.328307</v>
      </c>
      <c r="C101" s="149"/>
      <c r="D101" s="150"/>
      <c r="E101" s="150">
        <v>0.01644</v>
      </c>
      <c r="F101" s="151">
        <v>1.311867</v>
      </c>
    </row>
    <row r="102" spans="1:6" ht="12.75">
      <c r="A102" s="79" t="s">
        <v>17</v>
      </c>
      <c r="B102" s="148">
        <f t="shared" si="5"/>
        <v>0</v>
      </c>
      <c r="C102" s="149"/>
      <c r="D102" s="150"/>
      <c r="E102" s="150"/>
      <c r="F102" s="151"/>
    </row>
    <row r="103" spans="1:6" ht="12.75">
      <c r="A103" s="79" t="s">
        <v>5</v>
      </c>
      <c r="B103" s="148">
        <f t="shared" si="5"/>
        <v>0.5178560000000001</v>
      </c>
      <c r="C103" s="149"/>
      <c r="D103" s="150"/>
      <c r="E103" s="150">
        <v>0.003592</v>
      </c>
      <c r="F103" s="151">
        <v>0.514264</v>
      </c>
    </row>
    <row r="104" spans="1:6" ht="12.75">
      <c r="A104" s="79" t="s">
        <v>23</v>
      </c>
      <c r="B104" s="148">
        <f t="shared" si="5"/>
        <v>0</v>
      </c>
      <c r="C104" s="149"/>
      <c r="D104" s="149"/>
      <c r="E104" s="149"/>
      <c r="F104" s="152"/>
    </row>
    <row r="105" spans="1:6" ht="12.75">
      <c r="A105" s="79" t="s">
        <v>24</v>
      </c>
      <c r="B105" s="148">
        <f t="shared" si="5"/>
        <v>0.008345</v>
      </c>
      <c r="C105" s="149"/>
      <c r="D105" s="149"/>
      <c r="E105" s="149"/>
      <c r="F105" s="152">
        <v>0.008345</v>
      </c>
    </row>
    <row r="106" spans="1:6" ht="12.75">
      <c r="A106" s="79" t="s">
        <v>25</v>
      </c>
      <c r="B106" s="148">
        <f t="shared" si="5"/>
        <v>0.168916</v>
      </c>
      <c r="C106" s="149">
        <v>0.059939</v>
      </c>
      <c r="D106" s="149"/>
      <c r="E106" s="149">
        <v>0.108977</v>
      </c>
      <c r="F106" s="152"/>
    </row>
    <row r="107" spans="1:6" ht="12.75">
      <c r="A107" s="79" t="s">
        <v>26</v>
      </c>
      <c r="B107" s="148">
        <f t="shared" si="5"/>
        <v>0</v>
      </c>
      <c r="C107" s="149"/>
      <c r="D107" s="149"/>
      <c r="E107" s="149"/>
      <c r="F107" s="152"/>
    </row>
    <row r="108" spans="1:6" ht="13.5">
      <c r="A108" s="78" t="s">
        <v>0</v>
      </c>
      <c r="B108" s="144">
        <f t="shared" si="5"/>
        <v>2.390453</v>
      </c>
      <c r="C108" s="145">
        <v>0.365486</v>
      </c>
      <c r="D108" s="146"/>
      <c r="E108" s="153">
        <v>1.3167419999999999</v>
      </c>
      <c r="F108" s="154">
        <v>0.708225</v>
      </c>
    </row>
    <row r="109" spans="1:6" ht="13.5">
      <c r="A109" s="78" t="s">
        <v>12</v>
      </c>
      <c r="B109" s="144">
        <f t="shared" si="5"/>
        <v>0.11341000000000001</v>
      </c>
      <c r="C109" s="145">
        <f>C110</f>
        <v>0</v>
      </c>
      <c r="D109" s="146">
        <f>D110</f>
        <v>0</v>
      </c>
      <c r="E109" s="146">
        <f>E110</f>
        <v>0.030951</v>
      </c>
      <c r="F109" s="147">
        <f>F110</f>
        <v>0.082459</v>
      </c>
    </row>
    <row r="110" spans="1:6" ht="12.75">
      <c r="A110" s="79" t="s">
        <v>13</v>
      </c>
      <c r="B110" s="148">
        <f t="shared" si="5"/>
        <v>0.11341000000000001</v>
      </c>
      <c r="C110" s="149"/>
      <c r="D110" s="150"/>
      <c r="E110" s="150">
        <v>0.030951</v>
      </c>
      <c r="F110" s="151">
        <v>0.082459</v>
      </c>
    </row>
    <row r="111" spans="1:6" ht="13.5" thickBot="1">
      <c r="A111" s="80" t="s">
        <v>14</v>
      </c>
      <c r="B111" s="155">
        <f t="shared" si="5"/>
        <v>0.189</v>
      </c>
      <c r="C111" s="156"/>
      <c r="D111" s="157"/>
      <c r="E111" s="198">
        <v>0.057</v>
      </c>
      <c r="F111" s="158">
        <v>0.132</v>
      </c>
    </row>
    <row r="112" spans="1:6" ht="13.5" thickBot="1">
      <c r="A112" s="72" t="s">
        <v>28</v>
      </c>
      <c r="B112" s="141">
        <f t="shared" si="5"/>
        <v>2.2560079999999996</v>
      </c>
      <c r="C112" s="142">
        <f>C113+C121+C122</f>
        <v>1.1720629999999999</v>
      </c>
      <c r="D112" s="142">
        <f>D113+D121+D122</f>
        <v>0</v>
      </c>
      <c r="E112" s="142">
        <f>E113+E121+E122</f>
        <v>0.637605</v>
      </c>
      <c r="F112" s="143">
        <f>F113+F121+F122</f>
        <v>0.44633999999999996</v>
      </c>
    </row>
    <row r="113" spans="1:6" ht="13.5">
      <c r="A113" s="78" t="s">
        <v>10</v>
      </c>
      <c r="B113" s="159">
        <f t="shared" si="5"/>
        <v>0.42179999999999995</v>
      </c>
      <c r="C113" s="160">
        <f>C114+C115+C116+C117+C118+C119+C120</f>
        <v>0.000538</v>
      </c>
      <c r="D113" s="160">
        <f>D114+D115+D116+D117+D118+D119+D120</f>
        <v>0</v>
      </c>
      <c r="E113" s="160">
        <f>E114+E115+E116+E117+E118+E119+E120</f>
        <v>0</v>
      </c>
      <c r="F113" s="166">
        <f>F114+F115+F116+F117+F118+F119+F120</f>
        <v>0.42126199999999997</v>
      </c>
    </row>
    <row r="114" spans="1:6" ht="12.75">
      <c r="A114" s="79" t="s">
        <v>4</v>
      </c>
      <c r="B114" s="148">
        <f t="shared" si="5"/>
        <v>0.4134</v>
      </c>
      <c r="C114" s="149"/>
      <c r="D114" s="150"/>
      <c r="E114" s="150"/>
      <c r="F114" s="151">
        <v>0.4134</v>
      </c>
    </row>
    <row r="115" spans="1:6" ht="12.75">
      <c r="A115" s="79" t="s">
        <v>17</v>
      </c>
      <c r="B115" s="148">
        <f t="shared" si="5"/>
        <v>0.007862</v>
      </c>
      <c r="C115" s="149"/>
      <c r="D115" s="150"/>
      <c r="E115" s="150"/>
      <c r="F115" s="151">
        <v>0.007862</v>
      </c>
    </row>
    <row r="116" spans="1:6" ht="12.75">
      <c r="A116" s="79" t="s">
        <v>5</v>
      </c>
      <c r="B116" s="148">
        <f t="shared" si="5"/>
        <v>0</v>
      </c>
      <c r="C116" s="149"/>
      <c r="D116" s="150"/>
      <c r="E116" s="150"/>
      <c r="F116" s="151"/>
    </row>
    <row r="117" spans="1:6" ht="12.75">
      <c r="A117" s="79" t="s">
        <v>23</v>
      </c>
      <c r="B117" s="148">
        <f t="shared" si="5"/>
        <v>0</v>
      </c>
      <c r="C117" s="149"/>
      <c r="D117" s="149"/>
      <c r="E117" s="149"/>
      <c r="F117" s="152"/>
    </row>
    <row r="118" spans="1:6" ht="12.75">
      <c r="A118" s="79" t="s">
        <v>24</v>
      </c>
      <c r="B118" s="148">
        <f t="shared" si="5"/>
        <v>0</v>
      </c>
      <c r="C118" s="149"/>
      <c r="D118" s="149"/>
      <c r="E118" s="149"/>
      <c r="F118" s="152"/>
    </row>
    <row r="119" spans="1:6" ht="12.75">
      <c r="A119" s="79" t="s">
        <v>25</v>
      </c>
      <c r="B119" s="148">
        <f t="shared" si="5"/>
        <v>0</v>
      </c>
      <c r="C119" s="149"/>
      <c r="D119" s="149"/>
      <c r="E119" s="149"/>
      <c r="F119" s="152"/>
    </row>
    <row r="120" spans="1:6" ht="12.75">
      <c r="A120" s="79" t="s">
        <v>26</v>
      </c>
      <c r="B120" s="148">
        <f t="shared" si="5"/>
        <v>0.000538</v>
      </c>
      <c r="C120" s="149">
        <v>0.000538</v>
      </c>
      <c r="D120" s="149"/>
      <c r="E120" s="149"/>
      <c r="F120" s="152"/>
    </row>
    <row r="121" spans="1:6" ht="13.5">
      <c r="A121" s="78" t="s">
        <v>0</v>
      </c>
      <c r="B121" s="144">
        <f t="shared" si="5"/>
        <v>1.805893</v>
      </c>
      <c r="C121" s="145">
        <v>1.171525</v>
      </c>
      <c r="D121" s="146"/>
      <c r="E121" s="153">
        <v>0.615927</v>
      </c>
      <c r="F121" s="154">
        <v>0.018441</v>
      </c>
    </row>
    <row r="122" spans="1:6" ht="13.5">
      <c r="A122" s="78" t="s">
        <v>12</v>
      </c>
      <c r="B122" s="144">
        <f t="shared" si="5"/>
        <v>0.028315</v>
      </c>
      <c r="C122" s="145">
        <f>C123</f>
        <v>0</v>
      </c>
      <c r="D122" s="146">
        <f>D123</f>
        <v>0</v>
      </c>
      <c r="E122" s="146">
        <f>E123</f>
        <v>0.021678</v>
      </c>
      <c r="F122" s="147">
        <f>F123</f>
        <v>0.006637</v>
      </c>
    </row>
    <row r="123" spans="1:6" ht="12.75">
      <c r="A123" s="79" t="s">
        <v>13</v>
      </c>
      <c r="B123" s="148">
        <f t="shared" si="5"/>
        <v>0.028315</v>
      </c>
      <c r="C123" s="149"/>
      <c r="D123" s="150"/>
      <c r="E123" s="150">
        <v>0.021678</v>
      </c>
      <c r="F123" s="151">
        <v>0.006637</v>
      </c>
    </row>
    <row r="124" spans="1:6" ht="13.5" thickBot="1">
      <c r="A124" s="80" t="s">
        <v>14</v>
      </c>
      <c r="B124" s="155">
        <f t="shared" si="5"/>
        <v>0.051000000000000004</v>
      </c>
      <c r="C124" s="156"/>
      <c r="D124" s="157"/>
      <c r="E124" s="157">
        <v>0.04</v>
      </c>
      <c r="F124" s="158">
        <v>0.011</v>
      </c>
    </row>
    <row r="125" spans="1:6" ht="13.5" thickBot="1">
      <c r="A125" s="72" t="s">
        <v>19</v>
      </c>
      <c r="B125" s="141">
        <f t="shared" si="5"/>
        <v>3.775576</v>
      </c>
      <c r="C125" s="142">
        <f>C126+C134+C135</f>
        <v>2.294425</v>
      </c>
      <c r="D125" s="142">
        <f>D126+D134+D135</f>
        <v>0</v>
      </c>
      <c r="E125" s="142">
        <f>E126+E134+E135</f>
        <v>0.845774</v>
      </c>
      <c r="F125" s="143">
        <f>F126+F134+F135</f>
        <v>0.635377</v>
      </c>
    </row>
    <row r="126" spans="1:6" ht="13.5">
      <c r="A126" s="78" t="s">
        <v>10</v>
      </c>
      <c r="B126" s="159">
        <f t="shared" si="5"/>
        <v>0.47893800000000003</v>
      </c>
      <c r="C126" s="160">
        <f>C127+C128+C129+C130+C131+C132+C133</f>
        <v>0</v>
      </c>
      <c r="D126" s="160">
        <f>D127+D128+D129+D130+D131+D132+D133</f>
        <v>0</v>
      </c>
      <c r="E126" s="160">
        <f>E127+E128+E129+E130+E131+E132+E133</f>
        <v>0.07155199999999999</v>
      </c>
      <c r="F126" s="166">
        <f>F127+F128+F129+F130+F131+F132+F133</f>
        <v>0.407386</v>
      </c>
    </row>
    <row r="127" spans="1:6" ht="12.75">
      <c r="A127" s="79" t="s">
        <v>4</v>
      </c>
      <c r="B127" s="148">
        <f t="shared" si="5"/>
        <v>0.14943700000000001</v>
      </c>
      <c r="C127" s="149"/>
      <c r="D127" s="150"/>
      <c r="E127" s="150">
        <v>0.039567</v>
      </c>
      <c r="F127" s="151">
        <v>0.10987000000000001</v>
      </c>
    </row>
    <row r="128" spans="1:6" ht="12.75">
      <c r="A128" s="79" t="s">
        <v>17</v>
      </c>
      <c r="B128" s="148">
        <f t="shared" si="5"/>
        <v>0.037539</v>
      </c>
      <c r="C128" s="149"/>
      <c r="D128" s="150"/>
      <c r="E128" s="150">
        <v>0.026599</v>
      </c>
      <c r="F128" s="151">
        <v>0.01094</v>
      </c>
    </row>
    <row r="129" spans="1:6" ht="12.75">
      <c r="A129" s="79" t="s">
        <v>5</v>
      </c>
      <c r="B129" s="148">
        <f t="shared" si="5"/>
        <v>0.291316</v>
      </c>
      <c r="C129" s="149"/>
      <c r="D129" s="150"/>
      <c r="E129" s="150">
        <v>0.00474</v>
      </c>
      <c r="F129" s="151">
        <v>0.286576</v>
      </c>
    </row>
    <row r="130" spans="1:6" ht="12.75">
      <c r="A130" s="79" t="s">
        <v>23</v>
      </c>
      <c r="B130" s="148">
        <f t="shared" si="5"/>
        <v>0</v>
      </c>
      <c r="C130" s="149"/>
      <c r="D130" s="149"/>
      <c r="E130" s="149"/>
      <c r="F130" s="152"/>
    </row>
    <row r="131" spans="1:6" ht="12.75">
      <c r="A131" s="79" t="s">
        <v>24</v>
      </c>
      <c r="B131" s="148">
        <f t="shared" si="5"/>
        <v>0.000137</v>
      </c>
      <c r="C131" s="149"/>
      <c r="D131" s="149"/>
      <c r="E131" s="149">
        <v>0.000137</v>
      </c>
      <c r="F131" s="152"/>
    </row>
    <row r="132" spans="1:6" ht="12.75">
      <c r="A132" s="79" t="s">
        <v>25</v>
      </c>
      <c r="B132" s="148">
        <f t="shared" si="5"/>
        <v>0</v>
      </c>
      <c r="C132" s="149"/>
      <c r="D132" s="149"/>
      <c r="E132" s="149"/>
      <c r="F132" s="152"/>
    </row>
    <row r="133" spans="1:6" ht="12.75">
      <c r="A133" s="79" t="s">
        <v>26</v>
      </c>
      <c r="B133" s="148">
        <f t="shared" si="5"/>
        <v>0.000509</v>
      </c>
      <c r="C133" s="149"/>
      <c r="D133" s="149"/>
      <c r="E133" s="149">
        <v>0.000509</v>
      </c>
      <c r="F133" s="152"/>
    </row>
    <row r="134" spans="1:6" ht="13.5">
      <c r="A134" s="78" t="s">
        <v>0</v>
      </c>
      <c r="B134" s="144">
        <f t="shared" si="5"/>
        <v>2.8217100000000004</v>
      </c>
      <c r="C134" s="145">
        <v>2.135993</v>
      </c>
      <c r="D134" s="146"/>
      <c r="E134" s="153">
        <v>0.527719</v>
      </c>
      <c r="F134" s="154">
        <v>0.157998</v>
      </c>
    </row>
    <row r="135" spans="1:6" ht="13.5">
      <c r="A135" s="78" t="s">
        <v>12</v>
      </c>
      <c r="B135" s="144">
        <f t="shared" si="5"/>
        <v>0.474928</v>
      </c>
      <c r="C135" s="145">
        <f>C136</f>
        <v>0.158432</v>
      </c>
      <c r="D135" s="146">
        <f>D136</f>
        <v>0</v>
      </c>
      <c r="E135" s="146">
        <f>E136</f>
        <v>0.246503</v>
      </c>
      <c r="F135" s="147">
        <f>F136</f>
        <v>0.069993</v>
      </c>
    </row>
    <row r="136" spans="1:6" ht="12.75">
      <c r="A136" s="79" t="s">
        <v>13</v>
      </c>
      <c r="B136" s="148">
        <f t="shared" si="5"/>
        <v>0.474928</v>
      </c>
      <c r="C136" s="149">
        <v>0.158432</v>
      </c>
      <c r="D136" s="150"/>
      <c r="E136" s="149">
        <v>0.246503</v>
      </c>
      <c r="F136" s="151">
        <v>0.069993</v>
      </c>
    </row>
    <row r="137" spans="1:6" ht="13.5" thickBot="1">
      <c r="A137" s="80" t="s">
        <v>14</v>
      </c>
      <c r="B137" s="155">
        <f t="shared" si="5"/>
        <v>0.715</v>
      </c>
      <c r="C137" s="156">
        <v>0.227</v>
      </c>
      <c r="D137" s="157"/>
      <c r="E137" s="156">
        <v>0.377</v>
      </c>
      <c r="F137" s="158">
        <v>0.111</v>
      </c>
    </row>
    <row r="138" spans="1:6" ht="13.5" thickBot="1">
      <c r="A138" s="72" t="s">
        <v>20</v>
      </c>
      <c r="B138" s="141">
        <f t="shared" si="5"/>
        <v>0.575386</v>
      </c>
      <c r="C138" s="142">
        <f>C139+C147+C148</f>
        <v>0</v>
      </c>
      <c r="D138" s="142">
        <f>D139+D147+D148</f>
        <v>0</v>
      </c>
      <c r="E138" s="142">
        <f>E139+E147+E148</f>
        <v>0.206806</v>
      </c>
      <c r="F138" s="143">
        <f>F139+F147</f>
        <v>0.36857999999999996</v>
      </c>
    </row>
    <row r="139" spans="1:6" ht="13.5">
      <c r="A139" s="78" t="s">
        <v>10</v>
      </c>
      <c r="B139" s="159">
        <f t="shared" si="5"/>
        <v>0.267468</v>
      </c>
      <c r="C139" s="160">
        <f>C140+C141+C142+C143+C144+C145+C146</f>
        <v>0</v>
      </c>
      <c r="D139" s="160">
        <f>D140+D141+D142+D143+D144+D145+D146</f>
        <v>0</v>
      </c>
      <c r="E139" s="160">
        <f>E140+E141+E142+E143+E144+E145+E146</f>
        <v>0</v>
      </c>
      <c r="F139" s="166">
        <f>F140+F141+F142+F143+F144+F145+F146</f>
        <v>0.267468</v>
      </c>
    </row>
    <row r="140" spans="1:6" ht="12.75">
      <c r="A140" s="79" t="s">
        <v>4</v>
      </c>
      <c r="B140" s="148">
        <f t="shared" si="5"/>
        <v>0.205278</v>
      </c>
      <c r="C140" s="149"/>
      <c r="D140" s="149"/>
      <c r="E140" s="149"/>
      <c r="F140" s="152">
        <v>0.205278</v>
      </c>
    </row>
    <row r="141" spans="1:6" ht="12.75">
      <c r="A141" s="79" t="s">
        <v>17</v>
      </c>
      <c r="B141" s="148">
        <f t="shared" si="5"/>
        <v>0</v>
      </c>
      <c r="C141" s="149"/>
      <c r="D141" s="149"/>
      <c r="E141" s="149"/>
      <c r="F141" s="152"/>
    </row>
    <row r="142" spans="1:6" ht="12.75">
      <c r="A142" s="79" t="s">
        <v>5</v>
      </c>
      <c r="B142" s="148">
        <f t="shared" si="5"/>
        <v>0.06219</v>
      </c>
      <c r="C142" s="149"/>
      <c r="D142" s="149"/>
      <c r="E142" s="149"/>
      <c r="F142" s="152">
        <v>0.06219</v>
      </c>
    </row>
    <row r="143" spans="1:6" ht="12.75">
      <c r="A143" s="79" t="s">
        <v>23</v>
      </c>
      <c r="B143" s="148">
        <f>SUM(C143:F143)</f>
        <v>0</v>
      </c>
      <c r="C143" s="149"/>
      <c r="D143" s="149"/>
      <c r="E143" s="149"/>
      <c r="F143" s="152"/>
    </row>
    <row r="144" spans="1:6" ht="12.75">
      <c r="A144" s="79" t="s">
        <v>24</v>
      </c>
      <c r="B144" s="148">
        <f>SUM(C144:F144)</f>
        <v>0</v>
      </c>
      <c r="C144" s="149"/>
      <c r="D144" s="149"/>
      <c r="E144" s="149"/>
      <c r="F144" s="152"/>
    </row>
    <row r="145" spans="1:6" ht="12.75">
      <c r="A145" s="79" t="s">
        <v>25</v>
      </c>
      <c r="B145" s="148">
        <f>SUM(C145:F145)</f>
        <v>0</v>
      </c>
      <c r="C145" s="149"/>
      <c r="D145" s="149"/>
      <c r="E145" s="149"/>
      <c r="F145" s="152"/>
    </row>
    <row r="146" spans="1:6" ht="12.75">
      <c r="A146" s="79" t="s">
        <v>26</v>
      </c>
      <c r="B146" s="148">
        <f>SUM(C146:F146)</f>
        <v>0</v>
      </c>
      <c r="C146" s="149"/>
      <c r="D146" s="149"/>
      <c r="E146" s="149"/>
      <c r="F146" s="152"/>
    </row>
    <row r="147" spans="1:6" ht="13.5">
      <c r="A147" s="78" t="s">
        <v>0</v>
      </c>
      <c r="B147" s="163">
        <f>SUM(C147:F147)</f>
        <v>0.277582</v>
      </c>
      <c r="C147" s="164"/>
      <c r="D147" s="164"/>
      <c r="E147" s="164">
        <v>0.17647</v>
      </c>
      <c r="F147" s="165">
        <v>0.101112</v>
      </c>
    </row>
    <row r="148" spans="1:6" ht="13.5">
      <c r="A148" s="78" t="s">
        <v>12</v>
      </c>
      <c r="B148" s="144">
        <f>SUM(C148:F148)</f>
        <v>0.030336</v>
      </c>
      <c r="C148" s="145">
        <f>C149</f>
        <v>0</v>
      </c>
      <c r="D148" s="146">
        <f>D149</f>
        <v>0</v>
      </c>
      <c r="E148" s="146">
        <f>E149</f>
        <v>0.030336</v>
      </c>
      <c r="F148" s="147">
        <f>F149</f>
        <v>0</v>
      </c>
    </row>
    <row r="149" spans="1:6" ht="12.75">
      <c r="A149" s="79" t="s">
        <v>13</v>
      </c>
      <c r="B149" s="148">
        <f>SUM(C149:F149)</f>
        <v>0.030336</v>
      </c>
      <c r="C149" s="149"/>
      <c r="D149" s="150"/>
      <c r="E149" s="150">
        <v>0.030336</v>
      </c>
      <c r="F149" s="151"/>
    </row>
    <row r="150" spans="1:6" ht="13.5" thickBot="1">
      <c r="A150" s="80" t="s">
        <v>14</v>
      </c>
      <c r="B150" s="155">
        <f>SUM(C150:F150)</f>
        <v>0.046</v>
      </c>
      <c r="C150" s="156"/>
      <c r="D150" s="157"/>
      <c r="E150" s="157">
        <v>0.046</v>
      </c>
      <c r="F150" s="158"/>
    </row>
    <row r="151" spans="1:6" ht="13.5" thickBot="1">
      <c r="A151" s="72" t="s">
        <v>21</v>
      </c>
      <c r="B151" s="141">
        <f>SUM(C151:F151)</f>
        <v>1.824687</v>
      </c>
      <c r="C151" s="142">
        <f>C152+C160+C161</f>
        <v>0</v>
      </c>
      <c r="D151" s="142">
        <f>D152+D160+D161</f>
        <v>0</v>
      </c>
      <c r="E151" s="142">
        <f>E152+E160+E161</f>
        <v>1.036304</v>
      </c>
      <c r="F151" s="143">
        <f>F152+F160+F161</f>
        <v>0.7883830000000001</v>
      </c>
    </row>
    <row r="152" spans="1:6" ht="13.5">
      <c r="A152" s="78" t="s">
        <v>10</v>
      </c>
      <c r="B152" s="159">
        <f>SUM(C152:F152)</f>
        <v>0.9257480000000001</v>
      </c>
      <c r="C152" s="160">
        <f>C153+C154+C155+C156+C157+C158+C159</f>
        <v>0</v>
      </c>
      <c r="D152" s="160">
        <f>D153+D154+D155+D156+D157+D158+D159</f>
        <v>0</v>
      </c>
      <c r="E152" s="160">
        <f>E153+E154+E155+E156+E157+E158+E159</f>
        <v>0.30644800000000005</v>
      </c>
      <c r="F152" s="166">
        <f>F153+F154+F155+F156+F157+F158+F159</f>
        <v>0.6193000000000001</v>
      </c>
    </row>
    <row r="153" spans="1:6" ht="12.75">
      <c r="A153" s="79" t="s">
        <v>4</v>
      </c>
      <c r="B153" s="148">
        <f>SUM(C153:F153)</f>
        <v>0.547425</v>
      </c>
      <c r="C153" s="149"/>
      <c r="D153" s="150"/>
      <c r="E153" s="150">
        <v>0.155362</v>
      </c>
      <c r="F153" s="151">
        <v>0.392063</v>
      </c>
    </row>
    <row r="154" spans="1:6" ht="12.75">
      <c r="A154" s="79" t="s">
        <v>17</v>
      </c>
      <c r="B154" s="148">
        <f>SUM(C154:F154)</f>
        <v>0.22867300000000002</v>
      </c>
      <c r="C154" s="149"/>
      <c r="D154" s="150"/>
      <c r="E154" s="150">
        <v>0.14825200000000002</v>
      </c>
      <c r="F154" s="151">
        <v>0.080421</v>
      </c>
    </row>
    <row r="155" spans="1:6" ht="12.75">
      <c r="A155" s="79" t="s">
        <v>5</v>
      </c>
      <c r="B155" s="148">
        <f>SUM(C155:F155)</f>
        <v>0.147123</v>
      </c>
      <c r="C155" s="149"/>
      <c r="D155" s="150"/>
      <c r="E155" s="150">
        <v>0.002233</v>
      </c>
      <c r="F155" s="151">
        <v>0.14489</v>
      </c>
    </row>
    <row r="156" spans="1:6" ht="12.75">
      <c r="A156" s="79" t="s">
        <v>23</v>
      </c>
      <c r="B156" s="148">
        <f>SUM(C156:F156)</f>
        <v>0</v>
      </c>
      <c r="C156" s="149"/>
      <c r="D156" s="149"/>
      <c r="E156" s="149"/>
      <c r="F156" s="152"/>
    </row>
    <row r="157" spans="1:6" ht="12.75">
      <c r="A157" s="79" t="s">
        <v>24</v>
      </c>
      <c r="B157" s="148">
        <f>SUM(C157:F157)</f>
        <v>0.00172</v>
      </c>
      <c r="C157" s="149"/>
      <c r="D157" s="149"/>
      <c r="E157" s="149"/>
      <c r="F157" s="152">
        <v>0.00172</v>
      </c>
    </row>
    <row r="158" spans="1:6" ht="12.75">
      <c r="A158" s="79" t="s">
        <v>25</v>
      </c>
      <c r="B158" s="148">
        <f>SUM(C158:F158)</f>
        <v>0</v>
      </c>
      <c r="C158" s="149"/>
      <c r="D158" s="149"/>
      <c r="E158" s="149"/>
      <c r="F158" s="152"/>
    </row>
    <row r="159" spans="1:6" ht="12.75">
      <c r="A159" s="79" t="s">
        <v>26</v>
      </c>
      <c r="B159" s="148">
        <f>SUM(C159:F159)</f>
        <v>0.000807</v>
      </c>
      <c r="C159" s="149"/>
      <c r="D159" s="149"/>
      <c r="E159" s="149">
        <v>0.000601</v>
      </c>
      <c r="F159" s="152">
        <v>0.000206</v>
      </c>
    </row>
    <row r="160" spans="1:6" ht="13.5">
      <c r="A160" s="78" t="s">
        <v>0</v>
      </c>
      <c r="B160" s="144">
        <f>SUM(C160:F160)</f>
        <v>0.642097</v>
      </c>
      <c r="C160" s="145"/>
      <c r="D160" s="146"/>
      <c r="E160" s="153">
        <v>0.490678</v>
      </c>
      <c r="F160" s="154">
        <v>0.151419</v>
      </c>
    </row>
    <row r="161" spans="1:6" ht="13.5">
      <c r="A161" s="78" t="s">
        <v>12</v>
      </c>
      <c r="B161" s="144">
        <f>SUM(C161:F161)</f>
        <v>0.256842</v>
      </c>
      <c r="C161" s="145">
        <f>C162</f>
        <v>0</v>
      </c>
      <c r="D161" s="146">
        <f>D162</f>
        <v>0</v>
      </c>
      <c r="E161" s="146">
        <f>E162</f>
        <v>0.239178</v>
      </c>
      <c r="F161" s="147">
        <f>F162</f>
        <v>0.017664</v>
      </c>
    </row>
    <row r="162" spans="1:6" ht="12.75">
      <c r="A162" s="79" t="s">
        <v>13</v>
      </c>
      <c r="B162" s="148">
        <f>SUM(C162:F162)</f>
        <v>0.256842</v>
      </c>
      <c r="C162" s="149"/>
      <c r="D162" s="150"/>
      <c r="E162" s="150">
        <v>0.239178</v>
      </c>
      <c r="F162" s="151">
        <v>0.017664</v>
      </c>
    </row>
    <row r="163" spans="1:6" ht="13.5" thickBot="1">
      <c r="A163" s="80" t="s">
        <v>14</v>
      </c>
      <c r="B163" s="155">
        <f>SUM(C163:F163)</f>
        <v>0.378</v>
      </c>
      <c r="C163" s="156"/>
      <c r="D163" s="157"/>
      <c r="E163" s="157">
        <v>0.327</v>
      </c>
      <c r="F163" s="158">
        <v>0.051</v>
      </c>
    </row>
    <row r="164" spans="1:6" ht="13.5" thickBot="1">
      <c r="A164" s="72" t="s">
        <v>22</v>
      </c>
      <c r="B164" s="141">
        <f>SUM(C164:F164)</f>
        <v>2.422491</v>
      </c>
      <c r="C164" s="142">
        <f>C165+C173+C174</f>
        <v>0</v>
      </c>
      <c r="D164" s="142">
        <f>D165+D173+D174</f>
        <v>0</v>
      </c>
      <c r="E164" s="142">
        <f>E165+E173+E174</f>
        <v>1.360287</v>
      </c>
      <c r="F164" s="143">
        <f>F165+F173+F174</f>
        <v>1.062204</v>
      </c>
    </row>
    <row r="165" spans="1:6" ht="13.5">
      <c r="A165" s="78" t="s">
        <v>10</v>
      </c>
      <c r="B165" s="159">
        <f>SUM(C165:F165)</f>
        <v>1.460811</v>
      </c>
      <c r="C165" s="160">
        <f>C166+C167+C168+C169+C170+C171+C172</f>
        <v>0</v>
      </c>
      <c r="D165" s="160">
        <f>D166+D167+D168+D169+D170+D171+D172</f>
        <v>0</v>
      </c>
      <c r="E165" s="160">
        <f>E166+E167+E168+E169+E170+E171+E172</f>
        <v>0.6255290000000001</v>
      </c>
      <c r="F165" s="166">
        <f>F166+F167+F168+F169+F170+F171+F172</f>
        <v>0.835282</v>
      </c>
    </row>
    <row r="166" spans="1:6" ht="13.5">
      <c r="A166" s="78" t="s">
        <v>4</v>
      </c>
      <c r="B166" s="148">
        <f>SUM(C166:F166)</f>
        <v>1.024228</v>
      </c>
      <c r="C166" s="149"/>
      <c r="D166" s="150"/>
      <c r="E166" s="150">
        <v>0.402293</v>
      </c>
      <c r="F166" s="151">
        <v>0.6219349999999999</v>
      </c>
    </row>
    <row r="167" spans="1:6" ht="13.5">
      <c r="A167" s="78" t="s">
        <v>17</v>
      </c>
      <c r="B167" s="148">
        <f>SUM(C167:F167)</f>
        <v>0.391039</v>
      </c>
      <c r="C167" s="149"/>
      <c r="D167" s="150"/>
      <c r="E167" s="150">
        <v>0.20991300000000002</v>
      </c>
      <c r="F167" s="151">
        <v>0.181126</v>
      </c>
    </row>
    <row r="168" spans="1:6" ht="13.5">
      <c r="A168" s="78" t="s">
        <v>5</v>
      </c>
      <c r="B168" s="148">
        <f>SUM(C168:F168)</f>
        <v>0.038342</v>
      </c>
      <c r="C168" s="149"/>
      <c r="D168" s="150"/>
      <c r="E168" s="150">
        <v>0.006492</v>
      </c>
      <c r="F168" s="151">
        <v>0.03185</v>
      </c>
    </row>
    <row r="169" spans="1:6" ht="12.75">
      <c r="A169" s="79" t="s">
        <v>23</v>
      </c>
      <c r="B169" s="148">
        <f>SUM(C169:F169)</f>
        <v>0</v>
      </c>
      <c r="C169" s="149"/>
      <c r="D169" s="149"/>
      <c r="E169" s="149"/>
      <c r="F169" s="152"/>
    </row>
    <row r="170" spans="1:6" ht="12.75">
      <c r="A170" s="79" t="s">
        <v>24</v>
      </c>
      <c r="B170" s="148">
        <f>SUM(C170:F170)</f>
        <v>0.006575</v>
      </c>
      <c r="C170" s="149"/>
      <c r="D170" s="149"/>
      <c r="E170" s="149">
        <v>0.006575</v>
      </c>
      <c r="F170" s="152"/>
    </row>
    <row r="171" spans="1:6" ht="12.75">
      <c r="A171" s="79" t="s">
        <v>25</v>
      </c>
      <c r="B171" s="148">
        <f>SUM(C171:F171)</f>
        <v>0</v>
      </c>
      <c r="C171" s="149"/>
      <c r="D171" s="149"/>
      <c r="E171" s="149"/>
      <c r="F171" s="152"/>
    </row>
    <row r="172" spans="1:6" ht="12.75">
      <c r="A172" s="79" t="s">
        <v>26</v>
      </c>
      <c r="B172" s="148">
        <f>SUM(C172:F172)</f>
        <v>0.000627</v>
      </c>
      <c r="C172" s="149"/>
      <c r="D172" s="149"/>
      <c r="E172" s="149">
        <v>0.000256</v>
      </c>
      <c r="F172" s="152">
        <v>0.000371</v>
      </c>
    </row>
    <row r="173" spans="1:6" ht="13.5">
      <c r="A173" s="78" t="s">
        <v>0</v>
      </c>
      <c r="B173" s="144">
        <f>SUM(C173:F173)</f>
        <v>0.855819</v>
      </c>
      <c r="C173" s="145"/>
      <c r="D173" s="146"/>
      <c r="E173" s="153">
        <v>0.700817</v>
      </c>
      <c r="F173" s="154">
        <v>0.155002</v>
      </c>
    </row>
    <row r="174" spans="1:6" ht="13.5">
      <c r="A174" s="78" t="s">
        <v>12</v>
      </c>
      <c r="B174" s="144">
        <f>SUM(C174:F174)</f>
        <v>0.105861</v>
      </c>
      <c r="C174" s="145">
        <f>C175</f>
        <v>0</v>
      </c>
      <c r="D174" s="146">
        <f>D175</f>
        <v>0</v>
      </c>
      <c r="E174" s="146">
        <f>E175</f>
        <v>0.033941</v>
      </c>
      <c r="F174" s="147">
        <f>F175</f>
        <v>0.07192</v>
      </c>
    </row>
    <row r="175" spans="1:6" ht="12.75">
      <c r="A175" s="79" t="s">
        <v>13</v>
      </c>
      <c r="B175" s="148">
        <f>SUM(C175:F175)</f>
        <v>0.105861</v>
      </c>
      <c r="C175" s="149"/>
      <c r="D175" s="150"/>
      <c r="E175" s="150">
        <v>0.033941</v>
      </c>
      <c r="F175" s="151">
        <v>0.07192</v>
      </c>
    </row>
    <row r="176" spans="1:6" ht="13.5" thickBot="1">
      <c r="A176" s="80" t="s">
        <v>14</v>
      </c>
      <c r="B176" s="155">
        <f>SUM(C176:F176)</f>
        <v>0.177</v>
      </c>
      <c r="C176" s="156"/>
      <c r="D176" s="157"/>
      <c r="E176" s="157">
        <v>0.059</v>
      </c>
      <c r="F176" s="158">
        <v>0.118</v>
      </c>
    </row>
    <row r="177" spans="1:6" ht="13.5" thickBot="1">
      <c r="A177" s="72" t="s">
        <v>36</v>
      </c>
      <c r="B177" s="141">
        <f>SUM(C177:F177)</f>
        <v>5.3501449999999995</v>
      </c>
      <c r="C177" s="142">
        <f>C178+C186+C187</f>
        <v>0</v>
      </c>
      <c r="D177" s="142">
        <f>D178+D186+D187</f>
        <v>0</v>
      </c>
      <c r="E177" s="142">
        <f>E178+E186+E187</f>
        <v>0.8911330000000001</v>
      </c>
      <c r="F177" s="143">
        <f>F178+F186+F187</f>
        <v>4.4590119999999995</v>
      </c>
    </row>
    <row r="178" spans="1:6" ht="13.5">
      <c r="A178" s="78" t="s">
        <v>10</v>
      </c>
      <c r="B178" s="159">
        <f>SUM(C178:F178)</f>
        <v>3.5628449999999994</v>
      </c>
      <c r="C178" s="160">
        <f>C179+C180+C181+C182+C183+C184+C185</f>
        <v>0</v>
      </c>
      <c r="D178" s="160">
        <f>D179+D180+D181+D182+D183+D184+D185</f>
        <v>0</v>
      </c>
      <c r="E178" s="160">
        <f>E179+E180+E181+E182+E183+E184+E185</f>
        <v>0.026181</v>
      </c>
      <c r="F178" s="166">
        <f>F179+F180+F181+F182+F183+F184+F185</f>
        <v>3.5366639999999996</v>
      </c>
    </row>
    <row r="179" spans="1:6" ht="12.75">
      <c r="A179" s="79" t="s">
        <v>4</v>
      </c>
      <c r="B179" s="148">
        <f>SUM(C179:F179)</f>
        <v>0.33558499999999997</v>
      </c>
      <c r="C179" s="149"/>
      <c r="D179" s="150"/>
      <c r="E179" s="150">
        <v>0.00292</v>
      </c>
      <c r="F179" s="151">
        <v>0.332665</v>
      </c>
    </row>
    <row r="180" spans="1:6" ht="12.75">
      <c r="A180" s="79" t="s">
        <v>17</v>
      </c>
      <c r="B180" s="148">
        <f>SUM(C180:F180)</f>
        <v>0</v>
      </c>
      <c r="C180" s="149"/>
      <c r="D180" s="150"/>
      <c r="E180" s="150"/>
      <c r="F180" s="151"/>
    </row>
    <row r="181" spans="1:6" ht="12.75">
      <c r="A181" s="79" t="s">
        <v>5</v>
      </c>
      <c r="B181" s="148">
        <f>SUM(C181:F181)</f>
        <v>3.220601</v>
      </c>
      <c r="C181" s="149"/>
      <c r="D181" s="150"/>
      <c r="E181" s="150">
        <v>0.01858</v>
      </c>
      <c r="F181" s="151">
        <v>3.202021</v>
      </c>
    </row>
    <row r="182" spans="1:6" ht="12.75">
      <c r="A182" s="79" t="s">
        <v>23</v>
      </c>
      <c r="B182" s="148">
        <f>SUM(C182:F182)</f>
        <v>0</v>
      </c>
      <c r="C182" s="149"/>
      <c r="D182" s="149"/>
      <c r="E182" s="149"/>
      <c r="F182" s="152"/>
    </row>
    <row r="183" spans="1:6" ht="12.75">
      <c r="A183" s="79" t="s">
        <v>24</v>
      </c>
      <c r="B183" s="148">
        <f>SUM(C183:F183)</f>
        <v>0.006659</v>
      </c>
      <c r="C183" s="149"/>
      <c r="D183" s="149"/>
      <c r="E183" s="149">
        <v>0.004681</v>
      </c>
      <c r="F183" s="152">
        <v>0.001978</v>
      </c>
    </row>
    <row r="184" spans="1:6" ht="12.75">
      <c r="A184" s="79" t="s">
        <v>25</v>
      </c>
      <c r="B184" s="148">
        <f>SUM(C184:F184)</f>
        <v>0</v>
      </c>
      <c r="C184" s="149"/>
      <c r="D184" s="149"/>
      <c r="E184" s="149"/>
      <c r="F184" s="152"/>
    </row>
    <row r="185" spans="1:6" ht="12.75">
      <c r="A185" s="79" t="s">
        <v>26</v>
      </c>
      <c r="B185" s="148">
        <f>SUM(C185:F185)</f>
        <v>0</v>
      </c>
      <c r="C185" s="149"/>
      <c r="D185" s="149"/>
      <c r="E185" s="149"/>
      <c r="F185" s="152"/>
    </row>
    <row r="186" spans="1:6" ht="13.5">
      <c r="A186" s="78" t="s">
        <v>0</v>
      </c>
      <c r="B186" s="144">
        <f>SUM(C186:F186)</f>
        <v>1.577037</v>
      </c>
      <c r="C186" s="145"/>
      <c r="D186" s="146"/>
      <c r="E186" s="153">
        <v>0.770348</v>
      </c>
      <c r="F186" s="154">
        <v>0.806689</v>
      </c>
    </row>
    <row r="187" spans="1:6" ht="13.5">
      <c r="A187" s="82" t="s">
        <v>12</v>
      </c>
      <c r="B187" s="163">
        <f>SUM(C187:F187)</f>
        <v>0.21026299999999998</v>
      </c>
      <c r="C187" s="164">
        <f>C188</f>
        <v>0</v>
      </c>
      <c r="D187" s="153">
        <f>D188</f>
        <v>0</v>
      </c>
      <c r="E187" s="153">
        <f>E188</f>
        <v>0.094604</v>
      </c>
      <c r="F187" s="154">
        <f>F188</f>
        <v>0.115659</v>
      </c>
    </row>
    <row r="188" spans="1:6" ht="12.75">
      <c r="A188" s="79" t="s">
        <v>13</v>
      </c>
      <c r="B188" s="148">
        <f>SUM(C188:F188)</f>
        <v>0.21026299999999998</v>
      </c>
      <c r="C188" s="149"/>
      <c r="D188" s="150"/>
      <c r="E188" s="150">
        <v>0.094604</v>
      </c>
      <c r="F188" s="151">
        <v>0.115659</v>
      </c>
    </row>
    <row r="189" spans="1:6" ht="13.5" thickBot="1">
      <c r="A189" s="80" t="s">
        <v>14</v>
      </c>
      <c r="B189" s="155">
        <f>SUM(C189:F189)</f>
        <v>0.345</v>
      </c>
      <c r="C189" s="156"/>
      <c r="D189" s="157"/>
      <c r="E189" s="157">
        <v>0.154</v>
      </c>
      <c r="F189" s="158">
        <v>0.191</v>
      </c>
    </row>
    <row r="190" spans="1:6" ht="13.5" thickBot="1">
      <c r="A190" s="72" t="s">
        <v>30</v>
      </c>
      <c r="B190" s="141">
        <f aca="true" t="shared" si="6" ref="B190:B199">SUM(C190:F190)</f>
        <v>0.41607500000000003</v>
      </c>
      <c r="C190" s="142">
        <f>C191+C199+C200</f>
        <v>0</v>
      </c>
      <c r="D190" s="142">
        <f>D191+D199+D200</f>
        <v>0</v>
      </c>
      <c r="E190" s="142">
        <f>E191+E199+E200</f>
        <v>0.39531000000000005</v>
      </c>
      <c r="F190" s="143">
        <f>F191+F199+F200</f>
        <v>0.020765</v>
      </c>
    </row>
    <row r="191" spans="1:6" ht="13.5">
      <c r="A191" s="78" t="s">
        <v>10</v>
      </c>
      <c r="B191" s="159">
        <f t="shared" si="6"/>
        <v>0.021508999999999997</v>
      </c>
      <c r="C191" s="160">
        <f>C192+C193+C194+C195+C196+C197+C198</f>
        <v>0</v>
      </c>
      <c r="D191" s="160">
        <f>D192+D193+D194+D195+D196+D197+D198</f>
        <v>0</v>
      </c>
      <c r="E191" s="160">
        <f>E192+E193+E194+E195+E196+E197+E198</f>
        <v>0.000769</v>
      </c>
      <c r="F191" s="166">
        <f>F192+F193+F194+F195+F196+F197+F198</f>
        <v>0.020739999999999998</v>
      </c>
    </row>
    <row r="192" spans="1:6" ht="12.75">
      <c r="A192" s="79" t="s">
        <v>4</v>
      </c>
      <c r="B192" s="148">
        <f t="shared" si="6"/>
        <v>0.01954</v>
      </c>
      <c r="C192" s="149"/>
      <c r="D192" s="150"/>
      <c r="E192" s="150"/>
      <c r="F192" s="151">
        <v>0.01954</v>
      </c>
    </row>
    <row r="193" spans="1:6" ht="12.75">
      <c r="A193" s="79" t="s">
        <v>17</v>
      </c>
      <c r="B193" s="148">
        <f t="shared" si="6"/>
        <v>0</v>
      </c>
      <c r="C193" s="149"/>
      <c r="D193" s="150"/>
      <c r="E193" s="150"/>
      <c r="F193" s="151"/>
    </row>
    <row r="194" spans="1:6" ht="12.75">
      <c r="A194" s="79" t="s">
        <v>5</v>
      </c>
      <c r="B194" s="148">
        <f t="shared" si="6"/>
        <v>0.000769</v>
      </c>
      <c r="C194" s="149"/>
      <c r="D194" s="150"/>
      <c r="E194" s="150">
        <v>0.000769</v>
      </c>
      <c r="F194" s="151"/>
    </row>
    <row r="195" spans="1:6" ht="12.75">
      <c r="A195" s="79" t="s">
        <v>23</v>
      </c>
      <c r="B195" s="148">
        <f t="shared" si="6"/>
        <v>0</v>
      </c>
      <c r="C195" s="149"/>
      <c r="D195" s="149"/>
      <c r="E195" s="149"/>
      <c r="F195" s="152"/>
    </row>
    <row r="196" spans="1:6" ht="12.75">
      <c r="A196" s="79" t="s">
        <v>24</v>
      </c>
      <c r="B196" s="148">
        <f t="shared" si="6"/>
        <v>0</v>
      </c>
      <c r="C196" s="149"/>
      <c r="D196" s="149"/>
      <c r="E196" s="149"/>
      <c r="F196" s="152"/>
    </row>
    <row r="197" spans="1:6" ht="12.75">
      <c r="A197" s="79" t="s">
        <v>25</v>
      </c>
      <c r="B197" s="148">
        <f t="shared" si="6"/>
        <v>0</v>
      </c>
      <c r="C197" s="149"/>
      <c r="D197" s="149"/>
      <c r="E197" s="149"/>
      <c r="F197" s="152"/>
    </row>
    <row r="198" spans="1:6" ht="12.75">
      <c r="A198" s="79" t="s">
        <v>26</v>
      </c>
      <c r="B198" s="148">
        <f t="shared" si="6"/>
        <v>0.0012</v>
      </c>
      <c r="C198" s="149"/>
      <c r="D198" s="149"/>
      <c r="E198" s="149"/>
      <c r="F198" s="152">
        <v>0.0012</v>
      </c>
    </row>
    <row r="199" spans="1:6" ht="13.5">
      <c r="A199" s="83" t="s">
        <v>0</v>
      </c>
      <c r="B199" s="167">
        <f t="shared" si="6"/>
        <v>0.271293</v>
      </c>
      <c r="C199" s="164"/>
      <c r="D199" s="153"/>
      <c r="E199" s="153">
        <v>0.271268</v>
      </c>
      <c r="F199" s="154">
        <v>2.5E-05</v>
      </c>
    </row>
    <row r="200" spans="1:6" ht="13.5">
      <c r="A200" s="82" t="s">
        <v>12</v>
      </c>
      <c r="B200" s="163">
        <f>SUM(C200:F200)</f>
        <v>0.123273</v>
      </c>
      <c r="C200" s="164">
        <f>C201</f>
        <v>0</v>
      </c>
      <c r="D200" s="153">
        <f>D201</f>
        <v>0</v>
      </c>
      <c r="E200" s="153">
        <f>E201</f>
        <v>0.123273</v>
      </c>
      <c r="F200" s="154">
        <f>F201</f>
        <v>0</v>
      </c>
    </row>
    <row r="201" spans="1:6" ht="12.75">
      <c r="A201" s="79" t="s">
        <v>13</v>
      </c>
      <c r="B201" s="148">
        <f>SUM(C201:F201)</f>
        <v>0.123273</v>
      </c>
      <c r="C201" s="149"/>
      <c r="D201" s="150"/>
      <c r="E201" s="150">
        <v>0.123273</v>
      </c>
      <c r="F201" s="151"/>
    </row>
    <row r="202" spans="1:6" ht="13.5" thickBot="1">
      <c r="A202" s="80" t="s">
        <v>14</v>
      </c>
      <c r="B202" s="155">
        <f>SUM(C202:F202)</f>
        <v>0.243</v>
      </c>
      <c r="C202" s="156"/>
      <c r="D202" s="157"/>
      <c r="E202" s="157">
        <v>0.243</v>
      </c>
      <c r="F202" s="158"/>
    </row>
  </sheetData>
  <sheetProtection/>
  <mergeCells count="3">
    <mergeCell ref="B4:F4"/>
    <mergeCell ref="A5:A6"/>
    <mergeCell ref="B5:F5"/>
  </mergeCells>
  <conditionalFormatting sqref="C134">
    <cfRule type="containsText" priority="181" dxfId="273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zoomScale="86" zoomScaleNormal="86" zoomScalePageLayoutView="0" workbookViewId="0" topLeftCell="A1">
      <selection activeCell="F36" sqref="F36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16384" width="9.140625" style="1" customWidth="1"/>
  </cols>
  <sheetData>
    <row r="1" spans="1:6" s="12" customFormat="1" ht="15.75">
      <c r="A1" s="9" t="s">
        <v>50</v>
      </c>
      <c r="B1" s="13"/>
      <c r="C1" s="14"/>
      <c r="D1" s="14"/>
      <c r="E1" s="14"/>
      <c r="F1" s="14"/>
    </row>
    <row r="2" spans="1:6" s="3" customFormat="1" ht="15.75" customHeight="1">
      <c r="A2" s="16" t="s">
        <v>37</v>
      </c>
      <c r="B2" s="11"/>
      <c r="C2" s="11"/>
      <c r="D2" s="11"/>
      <c r="E2" s="11"/>
      <c r="F2" s="11"/>
    </row>
    <row r="3" spans="1:6" s="3" customFormat="1" ht="15.75" customHeight="1" thickBot="1">
      <c r="A3" s="6"/>
      <c r="B3" s="10"/>
      <c r="C3" s="10"/>
      <c r="D3" s="10"/>
      <c r="E3" s="10"/>
      <c r="F3" s="10"/>
    </row>
    <row r="4" spans="1:6" s="2" customFormat="1" ht="15.75" customHeight="1" thickBot="1">
      <c r="A4" s="7"/>
      <c r="B4" s="256" t="s">
        <v>49</v>
      </c>
      <c r="C4" s="257"/>
      <c r="D4" s="257"/>
      <c r="E4" s="257"/>
      <c r="F4" s="258"/>
    </row>
    <row r="5" spans="1:6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</row>
    <row r="6" spans="1:6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</row>
    <row r="7" spans="1:6" ht="18.75" customHeight="1" thickBot="1">
      <c r="A7" s="54" t="s">
        <v>31</v>
      </c>
      <c r="B7" s="44">
        <f aca="true" t="shared" si="0" ref="B7:F19">B31+B47+B60+B73+B86+B99+B112+B125+B138+B151+B164+B177+B190</f>
        <v>95.3605281</v>
      </c>
      <c r="C7" s="45">
        <f t="shared" si="0"/>
        <v>30.4649421</v>
      </c>
      <c r="D7" s="45">
        <f t="shared" si="0"/>
        <v>0.468486</v>
      </c>
      <c r="E7" s="46">
        <f t="shared" si="0"/>
        <v>25.851357999999998</v>
      </c>
      <c r="F7" s="46">
        <f>F8+F16+F20+F17</f>
        <v>38.575742</v>
      </c>
    </row>
    <row r="8" spans="1:6" ht="13.5">
      <c r="A8" s="55" t="s">
        <v>10</v>
      </c>
      <c r="B8" s="17">
        <f>SUM(C8:F8)</f>
        <v>30.325228999999997</v>
      </c>
      <c r="C8" s="18">
        <f>C9+C10+C11+C12+C13+C14+C15</f>
        <v>0.07839700000000001</v>
      </c>
      <c r="D8" s="18">
        <f>D9+D10+D11+D12+D13+D14+D15</f>
        <v>0.00083</v>
      </c>
      <c r="E8" s="18">
        <f>E9+E10+E11+E12+E13+E14+E15</f>
        <v>1.874987</v>
      </c>
      <c r="F8" s="19">
        <f>F9+F10+F11+F12+F13+F14+F15</f>
        <v>28.371014999999996</v>
      </c>
    </row>
    <row r="9" spans="1:6" ht="12.75">
      <c r="A9" s="56" t="s">
        <v>4</v>
      </c>
      <c r="B9" s="20">
        <f>SUM(C9:F9)</f>
        <v>10.824284</v>
      </c>
      <c r="C9" s="21">
        <f>C33+C49+C62+C75+C88+C101+C114+C127+C140+C153+C166+C179+C192</f>
        <v>0.005839</v>
      </c>
      <c r="D9" s="21">
        <f t="shared" si="0"/>
        <v>0</v>
      </c>
      <c r="E9" s="21">
        <f t="shared" si="0"/>
        <v>0.9333889999999999</v>
      </c>
      <c r="F9" s="22">
        <f t="shared" si="0"/>
        <v>9.885056</v>
      </c>
    </row>
    <row r="10" spans="1:6" ht="12.75">
      <c r="A10" s="56" t="s">
        <v>11</v>
      </c>
      <c r="B10" s="20">
        <f>SUM(C10:F10)</f>
        <v>0.760189</v>
      </c>
      <c r="C10" s="21">
        <f t="shared" si="0"/>
        <v>0</v>
      </c>
      <c r="D10" s="21">
        <f t="shared" si="0"/>
        <v>0</v>
      </c>
      <c r="E10" s="21">
        <f t="shared" si="0"/>
        <v>0.38453</v>
      </c>
      <c r="F10" s="22">
        <f t="shared" si="0"/>
        <v>0.37565899999999997</v>
      </c>
    </row>
    <row r="11" spans="1:6" ht="12.75">
      <c r="A11" s="56" t="s">
        <v>5</v>
      </c>
      <c r="B11" s="20">
        <f>SUM(C11:F11)</f>
        <v>18.377452999999996</v>
      </c>
      <c r="C11" s="21">
        <f t="shared" si="0"/>
        <v>0.014796</v>
      </c>
      <c r="D11" s="21">
        <f t="shared" si="0"/>
        <v>0.00083</v>
      </c>
      <c r="E11" s="21">
        <f t="shared" si="0"/>
        <v>0.316574</v>
      </c>
      <c r="F11" s="22">
        <f t="shared" si="0"/>
        <v>18.045252999999995</v>
      </c>
    </row>
    <row r="12" spans="1:6" ht="12.75">
      <c r="A12" s="56" t="s">
        <v>23</v>
      </c>
      <c r="B12" s="20">
        <f aca="true" t="shared" si="1" ref="B12:B22">SUM(C12:F12)</f>
        <v>0.022839</v>
      </c>
      <c r="C12" s="21">
        <f t="shared" si="0"/>
        <v>0</v>
      </c>
      <c r="D12" s="21">
        <f t="shared" si="0"/>
        <v>0</v>
      </c>
      <c r="E12" s="21">
        <f t="shared" si="0"/>
        <v>0.022839</v>
      </c>
      <c r="F12" s="22">
        <f t="shared" si="0"/>
        <v>0</v>
      </c>
    </row>
    <row r="13" spans="1:6" ht="12.75">
      <c r="A13" s="56" t="s">
        <v>24</v>
      </c>
      <c r="B13" s="20">
        <f t="shared" si="1"/>
        <v>0.166411</v>
      </c>
      <c r="C13" s="21">
        <f t="shared" si="0"/>
        <v>0</v>
      </c>
      <c r="D13" s="21">
        <f t="shared" si="0"/>
        <v>0</v>
      </c>
      <c r="E13" s="21">
        <f t="shared" si="0"/>
        <v>0.112049</v>
      </c>
      <c r="F13" s="22">
        <f t="shared" si="0"/>
        <v>0.054362</v>
      </c>
    </row>
    <row r="14" spans="1:6" ht="12.75">
      <c r="A14" s="56" t="s">
        <v>25</v>
      </c>
      <c r="B14" s="20">
        <f t="shared" si="1"/>
        <v>0.160824</v>
      </c>
      <c r="C14" s="21">
        <f t="shared" si="0"/>
        <v>0.055446</v>
      </c>
      <c r="D14" s="21">
        <f t="shared" si="0"/>
        <v>0</v>
      </c>
      <c r="E14" s="21">
        <f t="shared" si="0"/>
        <v>0.098633</v>
      </c>
      <c r="F14" s="22">
        <f t="shared" si="0"/>
        <v>0.006745</v>
      </c>
    </row>
    <row r="15" spans="1:6" ht="12.75">
      <c r="A15" s="56" t="s">
        <v>26</v>
      </c>
      <c r="B15" s="20">
        <f t="shared" si="1"/>
        <v>0.013229000000000001</v>
      </c>
      <c r="C15" s="21">
        <f t="shared" si="0"/>
        <v>0.002316</v>
      </c>
      <c r="D15" s="21">
        <f t="shared" si="0"/>
        <v>0</v>
      </c>
      <c r="E15" s="21">
        <f t="shared" si="0"/>
        <v>0.006973</v>
      </c>
      <c r="F15" s="22">
        <f t="shared" si="0"/>
        <v>0.00394</v>
      </c>
    </row>
    <row r="16" spans="1:6" ht="13.5">
      <c r="A16" s="55" t="s">
        <v>0</v>
      </c>
      <c r="B16" s="23">
        <f t="shared" si="1"/>
        <v>41.654957</v>
      </c>
      <c r="C16" s="202">
        <f t="shared" si="0"/>
        <v>16.906331</v>
      </c>
      <c r="D16" s="202">
        <f t="shared" si="0"/>
        <v>0.380157</v>
      </c>
      <c r="E16" s="202">
        <f t="shared" si="0"/>
        <v>15.391344</v>
      </c>
      <c r="F16" s="203">
        <f t="shared" si="0"/>
        <v>8.977125000000001</v>
      </c>
    </row>
    <row r="17" spans="1:6" ht="13.5">
      <c r="A17" s="55" t="s">
        <v>12</v>
      </c>
      <c r="B17" s="23">
        <f t="shared" si="1"/>
        <v>22.0615391</v>
      </c>
      <c r="C17" s="24">
        <f t="shared" si="0"/>
        <v>12.1614111</v>
      </c>
      <c r="D17" s="24">
        <f t="shared" si="0"/>
        <v>0.087499</v>
      </c>
      <c r="E17" s="24">
        <f t="shared" si="0"/>
        <v>8.585027</v>
      </c>
      <c r="F17" s="25">
        <f t="shared" si="0"/>
        <v>1.227602</v>
      </c>
    </row>
    <row r="18" spans="1:6" ht="13.5">
      <c r="A18" s="56" t="s">
        <v>13</v>
      </c>
      <c r="B18" s="204">
        <f t="shared" si="1"/>
        <v>22.0615391</v>
      </c>
      <c r="C18" s="24">
        <f t="shared" si="0"/>
        <v>12.1614111</v>
      </c>
      <c r="D18" s="24">
        <f t="shared" si="0"/>
        <v>0.087499</v>
      </c>
      <c r="E18" s="24">
        <f t="shared" si="0"/>
        <v>8.585027</v>
      </c>
      <c r="F18" s="25">
        <f t="shared" si="0"/>
        <v>1.227602</v>
      </c>
    </row>
    <row r="19" spans="1:6" ht="12.75">
      <c r="A19" s="57" t="s">
        <v>14</v>
      </c>
      <c r="B19" s="58">
        <f>SUM(C19:F19)</f>
        <v>33.449000000000005</v>
      </c>
      <c r="C19" s="21">
        <f t="shared" si="0"/>
        <v>16.873</v>
      </c>
      <c r="D19" s="21">
        <f t="shared" si="0"/>
        <v>0.148</v>
      </c>
      <c r="E19" s="21">
        <f t="shared" si="0"/>
        <v>14.179</v>
      </c>
      <c r="F19" s="22">
        <f t="shared" si="0"/>
        <v>2.249</v>
      </c>
    </row>
    <row r="20" spans="1:6" ht="13.5">
      <c r="A20" s="55" t="s">
        <v>15</v>
      </c>
      <c r="B20" s="23">
        <f t="shared" si="1"/>
        <v>1.318803</v>
      </c>
      <c r="C20" s="24">
        <f>C21</f>
        <v>1.318803</v>
      </c>
      <c r="D20" s="26"/>
      <c r="E20" s="26"/>
      <c r="F20" s="27"/>
    </row>
    <row r="21" spans="1:6" ht="12.75">
      <c r="A21" s="56" t="s">
        <v>13</v>
      </c>
      <c r="B21" s="20">
        <f t="shared" si="1"/>
        <v>1.318803</v>
      </c>
      <c r="C21" s="21">
        <f>C45</f>
        <v>1.318803</v>
      </c>
      <c r="D21" s="28"/>
      <c r="E21" s="28"/>
      <c r="F21" s="29"/>
    </row>
    <row r="22" spans="1:6" ht="12.75">
      <c r="A22" s="60" t="s">
        <v>16</v>
      </c>
      <c r="B22" s="58">
        <f t="shared" si="1"/>
        <v>2.838</v>
      </c>
      <c r="C22" s="59">
        <f>C46</f>
        <v>2.838</v>
      </c>
      <c r="D22" s="30"/>
      <c r="E22" s="30"/>
      <c r="F22" s="31"/>
    </row>
    <row r="23" spans="1:6" ht="13.5">
      <c r="A23" s="55" t="s">
        <v>32</v>
      </c>
      <c r="B23" s="23">
        <f>SUM(C23:F23)</f>
        <v>2.337398</v>
      </c>
      <c r="C23" s="24">
        <f>C24</f>
        <v>2.337398</v>
      </c>
      <c r="D23" s="26">
        <f>D24</f>
        <v>0</v>
      </c>
      <c r="E23" s="26">
        <f>E24</f>
        <v>0</v>
      </c>
      <c r="F23" s="27">
        <f>F24</f>
        <v>0</v>
      </c>
    </row>
    <row r="24" spans="1:6" ht="12.75">
      <c r="A24" s="56" t="s">
        <v>13</v>
      </c>
      <c r="B24" s="20">
        <f>SUM(C24:F24)</f>
        <v>2.337398</v>
      </c>
      <c r="C24" s="21">
        <f>C58</f>
        <v>2.337398</v>
      </c>
      <c r="D24" s="28"/>
      <c r="E24" s="28"/>
      <c r="F24" s="29"/>
    </row>
    <row r="25" spans="1:6" ht="12.75" customHeight="1" thickBot="1">
      <c r="A25" s="61" t="s">
        <v>14</v>
      </c>
      <c r="B25" s="32">
        <f>SUM(C25:F25)</f>
        <v>5.621</v>
      </c>
      <c r="C25" s="62">
        <f>C59</f>
        <v>5.621</v>
      </c>
      <c r="D25" s="33"/>
      <c r="E25" s="33"/>
      <c r="F25" s="34"/>
    </row>
    <row r="26" spans="1:6" ht="12.75" customHeight="1" hidden="1" thickBot="1">
      <c r="A26" s="88"/>
      <c r="B26" s="89"/>
      <c r="C26" s="90"/>
      <c r="D26" s="91"/>
      <c r="E26" s="91"/>
      <c r="F26" s="92"/>
    </row>
    <row r="27" spans="1:6" ht="12.75" customHeight="1" hidden="1" thickBot="1">
      <c r="A27" s="93"/>
      <c r="B27" s="94"/>
      <c r="C27" s="95"/>
      <c r="D27" s="96"/>
      <c r="E27" s="96"/>
      <c r="F27" s="97"/>
    </row>
    <row r="28" spans="1:6" ht="12.75" customHeight="1" hidden="1" thickBot="1">
      <c r="A28" s="98"/>
      <c r="B28" s="99"/>
      <c r="C28" s="100"/>
      <c r="D28" s="101"/>
      <c r="E28" s="101"/>
      <c r="F28" s="102"/>
    </row>
    <row r="29" spans="1:6" ht="12.75" customHeight="1" hidden="1" thickBot="1">
      <c r="A29" s="103"/>
      <c r="B29" s="104"/>
      <c r="C29" s="105"/>
      <c r="D29" s="106"/>
      <c r="E29" s="107"/>
      <c r="F29" s="108"/>
    </row>
    <row r="30" spans="1:6" ht="12.75" customHeight="1" hidden="1" thickBot="1">
      <c r="A30" s="109"/>
      <c r="B30" s="110"/>
      <c r="C30" s="111"/>
      <c r="D30" s="112"/>
      <c r="E30" s="112"/>
      <c r="F30" s="113"/>
    </row>
    <row r="31" spans="1:6" ht="13.5" customHeight="1" thickBot="1">
      <c r="A31" s="63" t="s">
        <v>39</v>
      </c>
      <c r="B31" s="114">
        <f>SUM(C31:F31)</f>
        <v>57.18858</v>
      </c>
      <c r="C31" s="115">
        <f>C32+C40+C44+C41</f>
        <v>14.406034000000002</v>
      </c>
      <c r="D31" s="115">
        <f>D32+D40+D44+D41</f>
        <v>0.437695</v>
      </c>
      <c r="E31" s="115">
        <f>E32+E40+E44+E41</f>
        <v>17.004912</v>
      </c>
      <c r="F31" s="116">
        <f>F32+F40+F44+F41</f>
        <v>25.339939</v>
      </c>
    </row>
    <row r="32" spans="1:6" ht="12.75" customHeight="1">
      <c r="A32" s="55" t="s">
        <v>10</v>
      </c>
      <c r="B32" s="117">
        <f>SUM(C32:F32)</f>
        <v>19.134700000000002</v>
      </c>
      <c r="C32" s="118">
        <f>C33+C34+C35+C36+C37+C38+C39</f>
        <v>0.022551</v>
      </c>
      <c r="D32" s="118">
        <f>D33+D34+D35+D36+D37+D38+D39</f>
        <v>0.00083</v>
      </c>
      <c r="E32" s="118">
        <f>E33+E34+E35+E36+E37+E38+E39</f>
        <v>0.6105020000000001</v>
      </c>
      <c r="F32" s="194">
        <f>F33+F34+F35+F36+F37+F38+F39</f>
        <v>18.500817</v>
      </c>
    </row>
    <row r="33" spans="1:6" ht="12.75" customHeight="1">
      <c r="A33" s="56" t="s">
        <v>4</v>
      </c>
      <c r="B33" s="121">
        <f>SUM(C33:F33)</f>
        <v>4.70122</v>
      </c>
      <c r="C33" s="122">
        <v>0.005839</v>
      </c>
      <c r="D33" s="122"/>
      <c r="E33" s="122">
        <f>0.173369+0.019005</f>
        <v>0.192374</v>
      </c>
      <c r="F33" s="123">
        <f>4.496359+0.006648</f>
        <v>4.503007</v>
      </c>
    </row>
    <row r="34" spans="1:6" ht="12.75" customHeight="1">
      <c r="A34" s="56" t="s">
        <v>11</v>
      </c>
      <c r="B34" s="121">
        <f>SUM(C34:F34)</f>
        <v>0.058475</v>
      </c>
      <c r="C34" s="122"/>
      <c r="D34" s="122"/>
      <c r="E34" s="122">
        <v>0.01264</v>
      </c>
      <c r="F34" s="123">
        <f>0.043537+0.002298</f>
        <v>0.045835</v>
      </c>
    </row>
    <row r="35" spans="1:6" ht="12.75" customHeight="1">
      <c r="A35" s="56" t="s">
        <v>5</v>
      </c>
      <c r="B35" s="121">
        <f>SUM(C35:F35)</f>
        <v>14.190828999999999</v>
      </c>
      <c r="C35" s="122">
        <f>0.000195+0.014601</f>
        <v>0.014796</v>
      </c>
      <c r="D35" s="122">
        <v>0.00083</v>
      </c>
      <c r="E35" s="122">
        <f>0.039705+0.236599</f>
        <v>0.276304</v>
      </c>
      <c r="F35" s="123">
        <f>13.89229+0.006609</f>
        <v>13.898898999999998</v>
      </c>
    </row>
    <row r="36" spans="1:6" ht="12.75" customHeight="1">
      <c r="A36" s="56" t="s">
        <v>23</v>
      </c>
      <c r="B36" s="121">
        <f>SUM(C36:F36)</f>
        <v>0.022839</v>
      </c>
      <c r="C36" s="122"/>
      <c r="D36" s="122"/>
      <c r="E36" s="122">
        <v>0.022839</v>
      </c>
      <c r="F36" s="123"/>
    </row>
    <row r="37" spans="1:6" ht="12.75" customHeight="1">
      <c r="A37" s="56" t="s">
        <v>24</v>
      </c>
      <c r="B37" s="121">
        <f>SUM(C37:F37)</f>
        <v>0.14751599999999998</v>
      </c>
      <c r="C37" s="122"/>
      <c r="D37" s="122"/>
      <c r="E37" s="122">
        <v>0.102195</v>
      </c>
      <c r="F37" s="123">
        <v>0.045321</v>
      </c>
    </row>
    <row r="38" spans="1:6" ht="12.75" customHeight="1">
      <c r="A38" s="56" t="s">
        <v>25</v>
      </c>
      <c r="B38" s="121">
        <f>SUM(C38:F38)</f>
        <v>0.006745</v>
      </c>
      <c r="C38" s="122"/>
      <c r="D38" s="122"/>
      <c r="E38" s="122"/>
      <c r="F38" s="123">
        <v>0.006745</v>
      </c>
    </row>
    <row r="39" spans="1:6" ht="12.75" customHeight="1">
      <c r="A39" s="56" t="s">
        <v>26</v>
      </c>
      <c r="B39" s="121">
        <f>SUM(C39:F39)</f>
        <v>0.007076000000000001</v>
      </c>
      <c r="C39" s="122">
        <v>0.001916</v>
      </c>
      <c r="D39" s="122"/>
      <c r="E39" s="122">
        <v>0.00415</v>
      </c>
      <c r="F39" s="123">
        <v>0.00101</v>
      </c>
    </row>
    <row r="40" spans="1:6" ht="12.75" customHeight="1">
      <c r="A40" s="55" t="s">
        <v>0</v>
      </c>
      <c r="B40" s="124">
        <f aca="true" t="shared" si="2" ref="B40:B51">SUM(C40:F40)</f>
        <v>23.888781</v>
      </c>
      <c r="C40" s="127">
        <f>8.223762+0.362664</f>
        <v>8.586426000000001</v>
      </c>
      <c r="D40" s="127">
        <f>0.337565+0.011801</f>
        <v>0.349366</v>
      </c>
      <c r="E40" s="127">
        <f>8.155283+0.743615</f>
        <v>8.898898</v>
      </c>
      <c r="F40" s="128">
        <f>5.620363+0.433728</f>
        <v>6.0540910000000006</v>
      </c>
    </row>
    <row r="41" spans="1:6" ht="12.75" customHeight="1">
      <c r="A41" s="55" t="s">
        <v>12</v>
      </c>
      <c r="B41" s="124">
        <f t="shared" si="2"/>
        <v>12.846295999999999</v>
      </c>
      <c r="C41" s="127">
        <f>C42</f>
        <v>4.478254</v>
      </c>
      <c r="D41" s="127">
        <f>D42</f>
        <v>0.087499</v>
      </c>
      <c r="E41" s="127">
        <f>E42</f>
        <v>7.495512</v>
      </c>
      <c r="F41" s="128">
        <f>F42</f>
        <v>0.785031</v>
      </c>
    </row>
    <row r="42" spans="1:6" ht="12.75" customHeight="1">
      <c r="A42" s="56" t="s">
        <v>13</v>
      </c>
      <c r="B42" s="121">
        <f t="shared" si="2"/>
        <v>12.846295999999999</v>
      </c>
      <c r="C42" s="122">
        <f>3.730969+0.747285</f>
        <v>4.478254</v>
      </c>
      <c r="D42" s="130">
        <v>0.087499</v>
      </c>
      <c r="E42" s="130">
        <v>7.495512</v>
      </c>
      <c r="F42" s="131">
        <v>0.785031</v>
      </c>
    </row>
    <row r="43" spans="1:6" ht="12.75" customHeight="1">
      <c r="A43" s="57" t="s">
        <v>14</v>
      </c>
      <c r="B43" s="132">
        <f t="shared" si="2"/>
        <v>19.53</v>
      </c>
      <c r="C43" s="129">
        <f>4.152+1.417</f>
        <v>5.569</v>
      </c>
      <c r="D43" s="133">
        <v>0.148</v>
      </c>
      <c r="E43" s="133">
        <f>11.53+0.799</f>
        <v>12.328999999999999</v>
      </c>
      <c r="F43" s="134">
        <f>1.356+0.128</f>
        <v>1.484</v>
      </c>
    </row>
    <row r="44" spans="1:6" ht="12.75" customHeight="1">
      <c r="A44" s="55" t="s">
        <v>15</v>
      </c>
      <c r="B44" s="124">
        <f t="shared" si="2"/>
        <v>1.318803</v>
      </c>
      <c r="C44" s="127">
        <f>C45</f>
        <v>1.318803</v>
      </c>
      <c r="D44" s="125">
        <f>D45</f>
        <v>0</v>
      </c>
      <c r="E44" s="125">
        <f>E45</f>
        <v>0</v>
      </c>
      <c r="F44" s="135">
        <f>F45</f>
        <v>0</v>
      </c>
    </row>
    <row r="45" spans="1:6" ht="12.75" customHeight="1">
      <c r="A45" s="56" t="s">
        <v>13</v>
      </c>
      <c r="B45" s="121">
        <f t="shared" si="2"/>
        <v>1.318803</v>
      </c>
      <c r="C45" s="122">
        <v>1.318803</v>
      </c>
      <c r="D45" s="130"/>
      <c r="E45" s="130"/>
      <c r="F45" s="136"/>
    </row>
    <row r="46" spans="1:6" ht="12.75" customHeight="1" thickBot="1">
      <c r="A46" s="60" t="s">
        <v>14</v>
      </c>
      <c r="B46" s="137">
        <f t="shared" si="2"/>
        <v>2.838</v>
      </c>
      <c r="C46" s="138">
        <v>2.838</v>
      </c>
      <c r="D46" s="139"/>
      <c r="E46" s="139"/>
      <c r="F46" s="140"/>
    </row>
    <row r="47" spans="1:6" ht="12.75" customHeight="1" thickBot="1">
      <c r="A47" s="72" t="s">
        <v>42</v>
      </c>
      <c r="B47" s="141">
        <f t="shared" si="2"/>
        <v>2.337398</v>
      </c>
      <c r="C47" s="142">
        <f>C48+C56+C57</f>
        <v>2.337398</v>
      </c>
      <c r="D47" s="142">
        <f>D48+D56+D57</f>
        <v>0</v>
      </c>
      <c r="E47" s="142">
        <f>E48+E56+E57</f>
        <v>0</v>
      </c>
      <c r="F47" s="143">
        <f>F48+F56+F57</f>
        <v>0</v>
      </c>
    </row>
    <row r="48" spans="1:6" ht="12.75" customHeight="1">
      <c r="A48" s="55" t="s">
        <v>10</v>
      </c>
      <c r="B48" s="159">
        <f t="shared" si="2"/>
        <v>0</v>
      </c>
      <c r="C48" s="160">
        <f>C49+C50+C51+C52+C53+C54+C55</f>
        <v>0</v>
      </c>
      <c r="D48" s="160">
        <f>D49+D50+D51+D52+D53+D54+D55</f>
        <v>0</v>
      </c>
      <c r="E48" s="160">
        <f>E49+E50+E51+E52+E53+E54+E55</f>
        <v>0</v>
      </c>
      <c r="F48" s="166">
        <f>F49+F50+F51+F52+F53+F54+F55</f>
        <v>0</v>
      </c>
    </row>
    <row r="49" spans="1:6" ht="12.75" customHeight="1">
      <c r="A49" s="56" t="s">
        <v>4</v>
      </c>
      <c r="B49" s="148">
        <f t="shared" si="2"/>
        <v>0</v>
      </c>
      <c r="C49" s="149"/>
      <c r="D49" s="150"/>
      <c r="E49" s="150"/>
      <c r="F49" s="151"/>
    </row>
    <row r="50" spans="1:6" ht="12.75" customHeight="1">
      <c r="A50" s="56" t="s">
        <v>17</v>
      </c>
      <c r="B50" s="148">
        <f t="shared" si="2"/>
        <v>0</v>
      </c>
      <c r="C50" s="149"/>
      <c r="D50" s="150"/>
      <c r="E50" s="150"/>
      <c r="F50" s="151"/>
    </row>
    <row r="51" spans="1:6" ht="12.75" customHeight="1">
      <c r="A51" s="56" t="s">
        <v>5</v>
      </c>
      <c r="B51" s="148">
        <f t="shared" si="2"/>
        <v>0</v>
      </c>
      <c r="C51" s="149"/>
      <c r="D51" s="150"/>
      <c r="E51" s="150"/>
      <c r="F51" s="151"/>
    </row>
    <row r="52" spans="1:6" ht="12.75" customHeight="1">
      <c r="A52" s="56" t="s">
        <v>23</v>
      </c>
      <c r="B52" s="148">
        <f>SUM(C52:F52)</f>
        <v>0</v>
      </c>
      <c r="C52" s="149"/>
      <c r="D52" s="149"/>
      <c r="E52" s="149"/>
      <c r="F52" s="152"/>
    </row>
    <row r="53" spans="1:6" ht="12.75" customHeight="1">
      <c r="A53" s="56" t="s">
        <v>24</v>
      </c>
      <c r="B53" s="148">
        <f>SUM(C53:F53)</f>
        <v>0</v>
      </c>
      <c r="C53" s="149"/>
      <c r="D53" s="149"/>
      <c r="E53" s="149"/>
      <c r="F53" s="152"/>
    </row>
    <row r="54" spans="1:6" ht="12.75" customHeight="1">
      <c r="A54" s="56" t="s">
        <v>25</v>
      </c>
      <c r="B54" s="148">
        <f>SUM(C54:F54)</f>
        <v>0</v>
      </c>
      <c r="C54" s="149"/>
      <c r="D54" s="149"/>
      <c r="E54" s="149"/>
      <c r="F54" s="152"/>
    </row>
    <row r="55" spans="1:6" ht="12.75" customHeight="1">
      <c r="A55" s="56" t="s">
        <v>26</v>
      </c>
      <c r="B55" s="148">
        <f>SUM(C55:F55)</f>
        <v>0</v>
      </c>
      <c r="C55" s="149"/>
      <c r="D55" s="149"/>
      <c r="E55" s="149"/>
      <c r="F55" s="152"/>
    </row>
    <row r="56" spans="1:6" ht="12.75" customHeight="1">
      <c r="A56" s="55" t="s">
        <v>0</v>
      </c>
      <c r="B56" s="144">
        <f aca="true" t="shared" si="3" ref="B56:B64">SUM(C56:F56)</f>
        <v>0</v>
      </c>
      <c r="C56" s="145"/>
      <c r="D56" s="146"/>
      <c r="E56" s="153"/>
      <c r="F56" s="154"/>
    </row>
    <row r="57" spans="1:6" ht="12.75" customHeight="1">
      <c r="A57" s="55" t="s">
        <v>12</v>
      </c>
      <c r="B57" s="144">
        <f t="shared" si="3"/>
        <v>2.337398</v>
      </c>
      <c r="C57" s="145">
        <f>C58</f>
        <v>2.337398</v>
      </c>
      <c r="D57" s="146">
        <f>D58</f>
        <v>0</v>
      </c>
      <c r="E57" s="146">
        <f>E58</f>
        <v>0</v>
      </c>
      <c r="F57" s="147">
        <f>F58</f>
        <v>0</v>
      </c>
    </row>
    <row r="58" spans="1:6" ht="12.75" customHeight="1">
      <c r="A58" s="56" t="s">
        <v>13</v>
      </c>
      <c r="B58" s="148">
        <f t="shared" si="3"/>
        <v>2.337398</v>
      </c>
      <c r="C58" s="149">
        <v>2.337398</v>
      </c>
      <c r="D58" s="150"/>
      <c r="E58" s="150"/>
      <c r="F58" s="151"/>
    </row>
    <row r="59" spans="1:6" ht="12.75" customHeight="1" thickBot="1">
      <c r="A59" s="73" t="s">
        <v>14</v>
      </c>
      <c r="B59" s="155">
        <f t="shared" si="3"/>
        <v>5.621</v>
      </c>
      <c r="C59" s="156">
        <v>5.621</v>
      </c>
      <c r="D59" s="157"/>
      <c r="E59" s="157"/>
      <c r="F59" s="158"/>
    </row>
    <row r="60" spans="1:6" ht="12.75" customHeight="1" thickBot="1">
      <c r="A60" s="72" t="s">
        <v>27</v>
      </c>
      <c r="B60" s="141">
        <f t="shared" si="3"/>
        <v>11.999076</v>
      </c>
      <c r="C60" s="142">
        <f>C61+C69+C70</f>
        <v>6.887721</v>
      </c>
      <c r="D60" s="142">
        <f>D61+D69+D70</f>
        <v>0.030791</v>
      </c>
      <c r="E60" s="142">
        <f>E61+E69+E70</f>
        <v>2.019199</v>
      </c>
      <c r="F60" s="143">
        <f>F61+F69+F70</f>
        <v>3.061365</v>
      </c>
    </row>
    <row r="61" spans="1:6" ht="12.75" customHeight="1">
      <c r="A61" s="78" t="s">
        <v>10</v>
      </c>
      <c r="B61" s="159">
        <f t="shared" si="3"/>
        <v>2.431783</v>
      </c>
      <c r="C61" s="160">
        <f>C62+C63+C64+C65+C66+C67+C68</f>
        <v>0</v>
      </c>
      <c r="D61" s="160">
        <f>D62+D63+D64+D65+D66+D67+D68</f>
        <v>0</v>
      </c>
      <c r="E61" s="160">
        <f>E62+E63+E64+E65+E66+E67+E68</f>
        <v>0.135246</v>
      </c>
      <c r="F61" s="166">
        <f>F62+F63+F64+F65+F66+F67+F68</f>
        <v>2.296537</v>
      </c>
    </row>
    <row r="62" spans="1:6" ht="12.75" customHeight="1">
      <c r="A62" s="79" t="s">
        <v>4</v>
      </c>
      <c r="B62" s="148">
        <f t="shared" si="3"/>
        <v>2.283435</v>
      </c>
      <c r="C62" s="149"/>
      <c r="D62" s="149"/>
      <c r="E62" s="149">
        <v>0.126584</v>
      </c>
      <c r="F62" s="152">
        <v>2.156851</v>
      </c>
    </row>
    <row r="63" spans="1:6" ht="12.75" customHeight="1">
      <c r="A63" s="79" t="s">
        <v>17</v>
      </c>
      <c r="B63" s="148">
        <f t="shared" si="3"/>
        <v>0.078826</v>
      </c>
      <c r="C63" s="149"/>
      <c r="D63" s="150"/>
      <c r="E63" s="150"/>
      <c r="F63" s="151">
        <v>0.078826</v>
      </c>
    </row>
    <row r="64" spans="1:6" ht="12.75" customHeight="1">
      <c r="A64" s="79" t="s">
        <v>5</v>
      </c>
      <c r="B64" s="148">
        <f t="shared" si="3"/>
        <v>0.069522</v>
      </c>
      <c r="C64" s="149"/>
      <c r="D64" s="150"/>
      <c r="E64" s="150">
        <v>0.008662</v>
      </c>
      <c r="F64" s="151">
        <v>0.06086</v>
      </c>
    </row>
    <row r="65" spans="1:6" ht="12.75" customHeight="1">
      <c r="A65" s="79" t="s">
        <v>23</v>
      </c>
      <c r="B65" s="148">
        <f>SUM(C65:F65)</f>
        <v>0</v>
      </c>
      <c r="C65" s="149"/>
      <c r="D65" s="149"/>
      <c r="E65" s="149"/>
      <c r="F65" s="152"/>
    </row>
    <row r="66" spans="1:6" ht="12.75" customHeight="1">
      <c r="A66" s="79" t="s">
        <v>24</v>
      </c>
      <c r="B66" s="148">
        <f>SUM(C66:F66)</f>
        <v>0</v>
      </c>
      <c r="C66" s="149"/>
      <c r="D66" s="149"/>
      <c r="E66" s="149"/>
      <c r="F66" s="152"/>
    </row>
    <row r="67" spans="1:6" ht="12.75" customHeight="1">
      <c r="A67" s="79" t="s">
        <v>25</v>
      </c>
      <c r="B67" s="148">
        <f>SUM(C67:F67)</f>
        <v>0</v>
      </c>
      <c r="C67" s="149"/>
      <c r="D67" s="149"/>
      <c r="E67" s="149"/>
      <c r="F67" s="152"/>
    </row>
    <row r="68" spans="1:6" ht="12.75" customHeight="1">
      <c r="A68" s="79" t="s">
        <v>26</v>
      </c>
      <c r="B68" s="148">
        <f>SUM(C68:F68)</f>
        <v>0</v>
      </c>
      <c r="C68" s="149"/>
      <c r="D68" s="149"/>
      <c r="E68" s="149"/>
      <c r="F68" s="152"/>
    </row>
    <row r="69" spans="1:6" ht="12.75" customHeight="1">
      <c r="A69" s="78" t="s">
        <v>0</v>
      </c>
      <c r="B69" s="144">
        <f>SUM(C69:F69)</f>
        <v>5.945594999999999</v>
      </c>
      <c r="C69" s="145">
        <v>3.552959</v>
      </c>
      <c r="D69" s="146">
        <v>0.030791</v>
      </c>
      <c r="E69" s="153">
        <v>1.636907</v>
      </c>
      <c r="F69" s="154">
        <v>0.724938</v>
      </c>
    </row>
    <row r="70" spans="1:6" ht="12.75" customHeight="1">
      <c r="A70" s="78" t="s">
        <v>34</v>
      </c>
      <c r="B70" s="144">
        <f>SUM(C70:F70)</f>
        <v>3.6216980000000003</v>
      </c>
      <c r="C70" s="145">
        <f>C71</f>
        <v>3.334762</v>
      </c>
      <c r="D70" s="146">
        <f>D71</f>
        <v>0</v>
      </c>
      <c r="E70" s="146">
        <f>E71</f>
        <v>0.247046</v>
      </c>
      <c r="F70" s="147">
        <f>F71</f>
        <v>0.03989</v>
      </c>
    </row>
    <row r="71" spans="1:6" ht="12.75" customHeight="1">
      <c r="A71" s="79" t="s">
        <v>13</v>
      </c>
      <c r="B71" s="148">
        <f>SUM(C71:F71)</f>
        <v>3.6216980000000003</v>
      </c>
      <c r="C71" s="145">
        <v>3.334762</v>
      </c>
      <c r="D71" s="146"/>
      <c r="E71" s="153">
        <v>0.247046</v>
      </c>
      <c r="F71" s="154">
        <v>0.03989</v>
      </c>
    </row>
    <row r="72" spans="1:6" ht="12.75" customHeight="1" thickBot="1">
      <c r="A72" s="80" t="s">
        <v>14</v>
      </c>
      <c r="B72" s="155">
        <f>SUM(C72:F72)</f>
        <v>4.662</v>
      </c>
      <c r="C72" s="156">
        <v>4.142</v>
      </c>
      <c r="D72" s="157"/>
      <c r="E72" s="157">
        <v>0.451</v>
      </c>
      <c r="F72" s="158">
        <v>0.069</v>
      </c>
    </row>
    <row r="73" spans="1:6" ht="12.75" customHeight="1" thickBot="1">
      <c r="A73" s="72" t="s">
        <v>33</v>
      </c>
      <c r="B73" s="141">
        <f>SUM(C73:F73)</f>
        <v>0</v>
      </c>
      <c r="C73" s="142">
        <f>C74+C82+C83</f>
        <v>0</v>
      </c>
      <c r="D73" s="142">
        <f>D74+D82+D83</f>
        <v>0</v>
      </c>
      <c r="E73" s="142">
        <f>E74+E82+E83</f>
        <v>0</v>
      </c>
      <c r="F73" s="143">
        <f>F74+F82+F83</f>
        <v>0</v>
      </c>
    </row>
    <row r="74" spans="1:6" ht="12.75" customHeight="1">
      <c r="A74" s="78" t="s">
        <v>10</v>
      </c>
      <c r="B74" s="159">
        <f aca="true" t="shared" si="4" ref="B74:B85">SUM(C74:F74)</f>
        <v>0</v>
      </c>
      <c r="C74" s="160">
        <f>C75+C76+C77+C78+C79+C80+C81</f>
        <v>0</v>
      </c>
      <c r="D74" s="160">
        <f>D75+D76+D77+D78+D79+D80+D81</f>
        <v>0</v>
      </c>
      <c r="E74" s="160">
        <f>E75+E76+E77+E78+E79+E80+E81</f>
        <v>0</v>
      </c>
      <c r="F74" s="166">
        <f>F75+F76+F77+F78+F79+F80+F81</f>
        <v>0</v>
      </c>
    </row>
    <row r="75" spans="1:6" ht="12.75" customHeight="1">
      <c r="A75" s="79" t="s">
        <v>4</v>
      </c>
      <c r="B75" s="148">
        <f t="shared" si="4"/>
        <v>0</v>
      </c>
      <c r="C75" s="149"/>
      <c r="D75" s="150"/>
      <c r="E75" s="150"/>
      <c r="F75" s="151"/>
    </row>
    <row r="76" spans="1:6" ht="12.75" customHeight="1">
      <c r="A76" s="79" t="s">
        <v>17</v>
      </c>
      <c r="B76" s="148">
        <f t="shared" si="4"/>
        <v>0</v>
      </c>
      <c r="C76" s="149"/>
      <c r="D76" s="150"/>
      <c r="E76" s="150"/>
      <c r="F76" s="151"/>
    </row>
    <row r="77" spans="1:6" ht="12.75" customHeight="1">
      <c r="A77" s="79" t="s">
        <v>5</v>
      </c>
      <c r="B77" s="148">
        <f t="shared" si="4"/>
        <v>0</v>
      </c>
      <c r="C77" s="149"/>
      <c r="D77" s="150"/>
      <c r="E77" s="150"/>
      <c r="F77" s="151"/>
    </row>
    <row r="78" spans="1:6" ht="12.75" customHeight="1">
      <c r="A78" s="79" t="s">
        <v>23</v>
      </c>
      <c r="B78" s="148">
        <f t="shared" si="4"/>
        <v>0</v>
      </c>
      <c r="C78" s="149"/>
      <c r="D78" s="149"/>
      <c r="E78" s="149"/>
      <c r="F78" s="152"/>
    </row>
    <row r="79" spans="1:6" ht="12.75" customHeight="1">
      <c r="A79" s="79" t="s">
        <v>24</v>
      </c>
      <c r="B79" s="148">
        <f t="shared" si="4"/>
        <v>0</v>
      </c>
      <c r="C79" s="149"/>
      <c r="D79" s="149"/>
      <c r="E79" s="149"/>
      <c r="F79" s="152"/>
    </row>
    <row r="80" spans="1:6" ht="12.75" customHeight="1">
      <c r="A80" s="79" t="s">
        <v>25</v>
      </c>
      <c r="B80" s="148">
        <f t="shared" si="4"/>
        <v>0</v>
      </c>
      <c r="C80" s="149"/>
      <c r="D80" s="149"/>
      <c r="E80" s="149"/>
      <c r="F80" s="152"/>
    </row>
    <row r="81" spans="1:6" ht="12.75" customHeight="1">
      <c r="A81" s="79" t="s">
        <v>26</v>
      </c>
      <c r="B81" s="148">
        <f t="shared" si="4"/>
        <v>0</v>
      </c>
      <c r="C81" s="149"/>
      <c r="D81" s="149"/>
      <c r="E81" s="149"/>
      <c r="F81" s="152"/>
    </row>
    <row r="82" spans="1:6" ht="12.75" customHeight="1">
      <c r="A82" s="78" t="s">
        <v>0</v>
      </c>
      <c r="B82" s="144">
        <f t="shared" si="4"/>
        <v>0</v>
      </c>
      <c r="C82" s="145"/>
      <c r="D82" s="146"/>
      <c r="E82" s="153"/>
      <c r="F82" s="154"/>
    </row>
    <row r="83" spans="1:6" ht="12.75" customHeight="1">
      <c r="A83" s="78" t="s">
        <v>12</v>
      </c>
      <c r="B83" s="144">
        <f t="shared" si="4"/>
        <v>0</v>
      </c>
      <c r="C83" s="145">
        <f>C84</f>
        <v>0</v>
      </c>
      <c r="D83" s="146">
        <f>D84</f>
        <v>0</v>
      </c>
      <c r="E83" s="146">
        <f>E84</f>
        <v>0</v>
      </c>
      <c r="F83" s="147">
        <f>F84</f>
        <v>0</v>
      </c>
    </row>
    <row r="84" spans="1:6" ht="12.75" customHeight="1">
      <c r="A84" s="79" t="s">
        <v>13</v>
      </c>
      <c r="B84" s="148">
        <f t="shared" si="4"/>
        <v>0</v>
      </c>
      <c r="C84" s="149"/>
      <c r="D84" s="150"/>
      <c r="E84" s="150"/>
      <c r="F84" s="151"/>
    </row>
    <row r="85" spans="1:6" ht="12.75" customHeight="1" thickBot="1">
      <c r="A85" s="80" t="s">
        <v>14</v>
      </c>
      <c r="B85" s="155">
        <f t="shared" si="4"/>
        <v>0</v>
      </c>
      <c r="C85" s="156"/>
      <c r="D85" s="157"/>
      <c r="E85" s="157"/>
      <c r="F85" s="158"/>
    </row>
    <row r="86" spans="1:6" ht="12.75" customHeight="1" thickBot="1">
      <c r="A86" s="72" t="s">
        <v>35</v>
      </c>
      <c r="B86" s="141">
        <f>SUM(C86:F86)</f>
        <v>2.9071171</v>
      </c>
      <c r="C86" s="142">
        <f>C87+C95+C96</f>
        <v>2.8831061</v>
      </c>
      <c r="D86" s="142">
        <f>D87+D95+D96</f>
        <v>0</v>
      </c>
      <c r="E86" s="142">
        <f>E87+E95+E96</f>
        <v>0</v>
      </c>
      <c r="F86" s="143">
        <f>F87+F95+F96</f>
        <v>0.024011</v>
      </c>
    </row>
    <row r="87" spans="1:6" ht="12.75" customHeight="1">
      <c r="A87" s="78" t="s">
        <v>10</v>
      </c>
      <c r="B87" s="159">
        <f aca="true" t="shared" si="5" ref="B87:B142">SUM(C87:F87)</f>
        <v>0</v>
      </c>
      <c r="C87" s="160">
        <f>C88+C89+C90+C91+C92+C93+C94</f>
        <v>0</v>
      </c>
      <c r="D87" s="160">
        <f>D88+D89+D90+D91+D92+D93+D94</f>
        <v>0</v>
      </c>
      <c r="E87" s="160">
        <f>E88+E89+E90+E91+E92+E93+E94</f>
        <v>0</v>
      </c>
      <c r="F87" s="166">
        <f>F88+F89+F90+F91+F92+F93+F94</f>
        <v>0</v>
      </c>
    </row>
    <row r="88" spans="1:6" ht="12.75" customHeight="1">
      <c r="A88" s="79" t="s">
        <v>4</v>
      </c>
      <c r="B88" s="148">
        <f t="shared" si="5"/>
        <v>0</v>
      </c>
      <c r="C88" s="149"/>
      <c r="D88" s="150"/>
      <c r="E88" s="150"/>
      <c r="F88" s="151"/>
    </row>
    <row r="89" spans="1:6" ht="12.75" customHeight="1">
      <c r="A89" s="79" t="s">
        <v>17</v>
      </c>
      <c r="B89" s="148">
        <f t="shared" si="5"/>
        <v>0</v>
      </c>
      <c r="C89" s="149"/>
      <c r="D89" s="150"/>
      <c r="E89" s="150"/>
      <c r="F89" s="151"/>
    </row>
    <row r="90" spans="1:6" ht="12.75" customHeight="1">
      <c r="A90" s="79" t="s">
        <v>5</v>
      </c>
      <c r="B90" s="148">
        <f t="shared" si="5"/>
        <v>0</v>
      </c>
      <c r="C90" s="149"/>
      <c r="D90" s="150"/>
      <c r="E90" s="150"/>
      <c r="F90" s="151"/>
    </row>
    <row r="91" spans="1:6" ht="12.75" customHeight="1">
      <c r="A91" s="79" t="s">
        <v>23</v>
      </c>
      <c r="B91" s="148">
        <f t="shared" si="5"/>
        <v>0</v>
      </c>
      <c r="C91" s="149"/>
      <c r="D91" s="149"/>
      <c r="E91" s="149"/>
      <c r="F91" s="152"/>
    </row>
    <row r="92" spans="1:6" ht="12.75" customHeight="1">
      <c r="A92" s="79" t="s">
        <v>24</v>
      </c>
      <c r="B92" s="148">
        <f t="shared" si="5"/>
        <v>0</v>
      </c>
      <c r="C92" s="149"/>
      <c r="D92" s="149"/>
      <c r="E92" s="149"/>
      <c r="F92" s="152"/>
    </row>
    <row r="93" spans="1:6" ht="12.75" customHeight="1">
      <c r="A93" s="79" t="s">
        <v>25</v>
      </c>
      <c r="B93" s="148">
        <f t="shared" si="5"/>
        <v>0</v>
      </c>
      <c r="C93" s="149"/>
      <c r="D93" s="149"/>
      <c r="E93" s="149"/>
      <c r="F93" s="152"/>
    </row>
    <row r="94" spans="1:6" ht="12.75">
      <c r="A94" s="79" t="s">
        <v>26</v>
      </c>
      <c r="B94" s="148">
        <f t="shared" si="5"/>
        <v>0</v>
      </c>
      <c r="C94" s="149"/>
      <c r="D94" s="149"/>
      <c r="E94" s="149"/>
      <c r="F94" s="152"/>
    </row>
    <row r="95" spans="1:6" ht="13.5">
      <c r="A95" s="78" t="s">
        <v>0</v>
      </c>
      <c r="B95" s="144">
        <f t="shared" si="5"/>
        <v>1.034955</v>
      </c>
      <c r="C95" s="145">
        <v>1.010944</v>
      </c>
      <c r="D95" s="146"/>
      <c r="E95" s="153"/>
      <c r="F95" s="154">
        <v>0.024011</v>
      </c>
    </row>
    <row r="96" spans="1:6" ht="13.5">
      <c r="A96" s="78" t="s">
        <v>12</v>
      </c>
      <c r="B96" s="144">
        <f t="shared" si="5"/>
        <v>1.8721621</v>
      </c>
      <c r="C96" s="145">
        <f>C97</f>
        <v>1.8721621</v>
      </c>
      <c r="D96" s="146">
        <f>D97</f>
        <v>0</v>
      </c>
      <c r="E96" s="146">
        <f>E97</f>
        <v>0</v>
      </c>
      <c r="F96" s="147">
        <f>F97</f>
        <v>0</v>
      </c>
    </row>
    <row r="97" spans="1:6" ht="12.75">
      <c r="A97" s="79" t="s">
        <v>13</v>
      </c>
      <c r="B97" s="148">
        <f t="shared" si="5"/>
        <v>1.8721621</v>
      </c>
      <c r="C97" s="149">
        <v>1.8721621</v>
      </c>
      <c r="D97" s="150"/>
      <c r="E97" s="150"/>
      <c r="F97" s="151"/>
    </row>
    <row r="98" spans="1:6" ht="13.5" thickBot="1">
      <c r="A98" s="80" t="s">
        <v>14</v>
      </c>
      <c r="B98" s="155">
        <f t="shared" si="5"/>
        <v>1.338</v>
      </c>
      <c r="C98" s="156">
        <v>1.338</v>
      </c>
      <c r="D98" s="157"/>
      <c r="E98" s="157"/>
      <c r="F98" s="158"/>
    </row>
    <row r="99" spans="1:6" ht="13.5" thickBot="1">
      <c r="A99" s="72" t="s">
        <v>18</v>
      </c>
      <c r="B99" s="141">
        <f t="shared" si="5"/>
        <v>4.286922</v>
      </c>
      <c r="C99" s="142">
        <f>C100+C108+C109</f>
        <v>0.384493</v>
      </c>
      <c r="D99" s="142">
        <f>D100+D108+D109</f>
        <v>0</v>
      </c>
      <c r="E99" s="142">
        <f>E100+E108+E109</f>
        <v>1.399624</v>
      </c>
      <c r="F99" s="143">
        <f>F100+F108+F109</f>
        <v>2.502805</v>
      </c>
    </row>
    <row r="100" spans="1:6" ht="13.5">
      <c r="A100" s="78" t="s">
        <v>10</v>
      </c>
      <c r="B100" s="159">
        <f t="shared" si="5"/>
        <v>1.8874119999999999</v>
      </c>
      <c r="C100" s="160">
        <f>C101+C102+C103+C104+C105+C106+C107</f>
        <v>0.055446</v>
      </c>
      <c r="D100" s="160">
        <f>D101+D102+D103+D104+D105+D106+D107</f>
        <v>0</v>
      </c>
      <c r="E100" s="160">
        <f>E101+E102+E103+E104+E105+E106+E107</f>
        <v>0.115156</v>
      </c>
      <c r="F100" s="166">
        <f>F101+F102+F103+F104+F105+F106+F107</f>
        <v>1.71681</v>
      </c>
    </row>
    <row r="101" spans="1:6" ht="12.75">
      <c r="A101" s="79" t="s">
        <v>4</v>
      </c>
      <c r="B101" s="148">
        <f t="shared" si="5"/>
        <v>1.20556</v>
      </c>
      <c r="C101" s="149"/>
      <c r="D101" s="150"/>
      <c r="E101" s="150">
        <v>0.012913</v>
      </c>
      <c r="F101" s="151">
        <v>1.192647</v>
      </c>
    </row>
    <row r="102" spans="1:6" ht="12.75">
      <c r="A102" s="79" t="s">
        <v>17</v>
      </c>
      <c r="B102" s="148">
        <f t="shared" si="5"/>
        <v>0</v>
      </c>
      <c r="C102" s="149"/>
      <c r="D102" s="150"/>
      <c r="E102" s="150"/>
      <c r="F102" s="151"/>
    </row>
    <row r="103" spans="1:6" ht="12.75">
      <c r="A103" s="79" t="s">
        <v>5</v>
      </c>
      <c r="B103" s="148">
        <f t="shared" si="5"/>
        <v>0.521099</v>
      </c>
      <c r="C103" s="149"/>
      <c r="D103" s="150"/>
      <c r="E103" s="150">
        <v>0.00361</v>
      </c>
      <c r="F103" s="151">
        <v>0.517489</v>
      </c>
    </row>
    <row r="104" spans="1:6" ht="12.75">
      <c r="A104" s="79" t="s">
        <v>23</v>
      </c>
      <c r="B104" s="148">
        <f t="shared" si="5"/>
        <v>0</v>
      </c>
      <c r="C104" s="149"/>
      <c r="D104" s="149"/>
      <c r="E104" s="149"/>
      <c r="F104" s="152"/>
    </row>
    <row r="105" spans="1:6" ht="12.75">
      <c r="A105" s="79" t="s">
        <v>24</v>
      </c>
      <c r="B105" s="148">
        <f t="shared" si="5"/>
        <v>0.006674</v>
      </c>
      <c r="C105" s="149"/>
      <c r="D105" s="149"/>
      <c r="E105" s="149"/>
      <c r="F105" s="152">
        <v>0.006674</v>
      </c>
    </row>
    <row r="106" spans="1:6" ht="12.75">
      <c r="A106" s="79" t="s">
        <v>25</v>
      </c>
      <c r="B106" s="148">
        <f t="shared" si="5"/>
        <v>0.154079</v>
      </c>
      <c r="C106" s="149">
        <v>0.055446</v>
      </c>
      <c r="D106" s="149"/>
      <c r="E106" s="149">
        <v>0.098633</v>
      </c>
      <c r="F106" s="152"/>
    </row>
    <row r="107" spans="1:6" ht="12.75">
      <c r="A107" s="79" t="s">
        <v>26</v>
      </c>
      <c r="B107" s="148">
        <f t="shared" si="5"/>
        <v>0</v>
      </c>
      <c r="C107" s="149"/>
      <c r="D107" s="149"/>
      <c r="E107" s="149"/>
      <c r="F107" s="152"/>
    </row>
    <row r="108" spans="1:6" ht="13.5">
      <c r="A108" s="78" t="s">
        <v>0</v>
      </c>
      <c r="B108" s="144">
        <f t="shared" si="5"/>
        <v>2.279446</v>
      </c>
      <c r="C108" s="145">
        <v>0.329047</v>
      </c>
      <c r="D108" s="146"/>
      <c r="E108" s="153">
        <v>1.244271</v>
      </c>
      <c r="F108" s="154">
        <v>0.706128</v>
      </c>
    </row>
    <row r="109" spans="1:6" ht="13.5">
      <c r="A109" s="78" t="s">
        <v>12</v>
      </c>
      <c r="B109" s="144">
        <f t="shared" si="5"/>
        <v>0.12006399999999999</v>
      </c>
      <c r="C109" s="145">
        <f>C110</f>
        <v>0</v>
      </c>
      <c r="D109" s="146">
        <f>D110</f>
        <v>0</v>
      </c>
      <c r="E109" s="146">
        <f>E110</f>
        <v>0.040197</v>
      </c>
      <c r="F109" s="147">
        <f>F110</f>
        <v>0.079867</v>
      </c>
    </row>
    <row r="110" spans="1:6" ht="12.75">
      <c r="A110" s="79" t="s">
        <v>13</v>
      </c>
      <c r="B110" s="148">
        <f t="shared" si="5"/>
        <v>0.12006399999999999</v>
      </c>
      <c r="C110" s="149"/>
      <c r="D110" s="150"/>
      <c r="E110" s="150">
        <v>0.040197</v>
      </c>
      <c r="F110" s="151">
        <v>0.079867</v>
      </c>
    </row>
    <row r="111" spans="1:6" ht="13.5" thickBot="1">
      <c r="A111" s="80" t="s">
        <v>14</v>
      </c>
      <c r="B111" s="155">
        <f t="shared" si="5"/>
        <v>0.21100000000000002</v>
      </c>
      <c r="C111" s="156"/>
      <c r="D111" s="157"/>
      <c r="E111" s="198">
        <v>0.074</v>
      </c>
      <c r="F111" s="158">
        <v>0.137</v>
      </c>
    </row>
    <row r="112" spans="1:6" ht="13.5" thickBot="1">
      <c r="A112" s="72" t="s">
        <v>28</v>
      </c>
      <c r="B112" s="141">
        <f t="shared" si="5"/>
        <v>2.339359</v>
      </c>
      <c r="C112" s="142">
        <f>C113+C121+C122</f>
        <v>1.252124</v>
      </c>
      <c r="D112" s="142">
        <f>D113+D121+D122</f>
        <v>0</v>
      </c>
      <c r="E112" s="142">
        <f>E113+E121+E122</f>
        <v>0.6486599999999999</v>
      </c>
      <c r="F112" s="143">
        <f>F113+F121+F122</f>
        <v>0.438575</v>
      </c>
    </row>
    <row r="113" spans="1:6" ht="13.5">
      <c r="A113" s="78" t="s">
        <v>10</v>
      </c>
      <c r="B113" s="159">
        <f t="shared" si="5"/>
        <v>0.415293</v>
      </c>
      <c r="C113" s="160">
        <f>C114+C115+C116+C117+C118+C119+C120</f>
        <v>0.0004</v>
      </c>
      <c r="D113" s="160">
        <f>D114+D115+D116+D117+D118+D119+D120</f>
        <v>0</v>
      </c>
      <c r="E113" s="160">
        <f>E114+E115+E116+E117+E118+E119+E120</f>
        <v>0</v>
      </c>
      <c r="F113" s="166">
        <f>F114+F115+F116+F117+F118+F119+F120</f>
        <v>0.414893</v>
      </c>
    </row>
    <row r="114" spans="1:6" ht="12.75">
      <c r="A114" s="79" t="s">
        <v>4</v>
      </c>
      <c r="B114" s="148">
        <f t="shared" si="5"/>
        <v>0.404148</v>
      </c>
      <c r="C114" s="149"/>
      <c r="D114" s="150"/>
      <c r="E114" s="150"/>
      <c r="F114" s="151">
        <v>0.404148</v>
      </c>
    </row>
    <row r="115" spans="1:6" ht="12.75">
      <c r="A115" s="79" t="s">
        <v>17</v>
      </c>
      <c r="B115" s="148">
        <f t="shared" si="5"/>
        <v>0.010745</v>
      </c>
      <c r="C115" s="149"/>
      <c r="D115" s="150"/>
      <c r="E115" s="150"/>
      <c r="F115" s="151">
        <v>0.010745</v>
      </c>
    </row>
    <row r="116" spans="1:6" ht="12.75">
      <c r="A116" s="79" t="s">
        <v>5</v>
      </c>
      <c r="B116" s="148">
        <f t="shared" si="5"/>
        <v>0</v>
      </c>
      <c r="C116" s="149"/>
      <c r="D116" s="150"/>
      <c r="E116" s="150"/>
      <c r="F116" s="151"/>
    </row>
    <row r="117" spans="1:6" ht="12.75">
      <c r="A117" s="79" t="s">
        <v>23</v>
      </c>
      <c r="B117" s="148">
        <f t="shared" si="5"/>
        <v>0</v>
      </c>
      <c r="C117" s="149"/>
      <c r="D117" s="149"/>
      <c r="E117" s="149"/>
      <c r="F117" s="152"/>
    </row>
    <row r="118" spans="1:6" ht="12.75">
      <c r="A118" s="79" t="s">
        <v>24</v>
      </c>
      <c r="B118" s="148">
        <f t="shared" si="5"/>
        <v>0</v>
      </c>
      <c r="C118" s="149"/>
      <c r="D118" s="149"/>
      <c r="E118" s="149"/>
      <c r="F118" s="152"/>
    </row>
    <row r="119" spans="1:6" ht="12.75">
      <c r="A119" s="79" t="s">
        <v>25</v>
      </c>
      <c r="B119" s="148">
        <f t="shared" si="5"/>
        <v>0</v>
      </c>
      <c r="C119" s="149"/>
      <c r="D119" s="149"/>
      <c r="E119" s="149"/>
      <c r="F119" s="152"/>
    </row>
    <row r="120" spans="1:6" ht="12.75">
      <c r="A120" s="79" t="s">
        <v>26</v>
      </c>
      <c r="B120" s="148">
        <f t="shared" si="5"/>
        <v>0.0004</v>
      </c>
      <c r="C120" s="149">
        <v>0.0004</v>
      </c>
      <c r="D120" s="149"/>
      <c r="E120" s="149"/>
      <c r="F120" s="152"/>
    </row>
    <row r="121" spans="1:6" ht="13.5">
      <c r="A121" s="78" t="s">
        <v>0</v>
      </c>
      <c r="B121" s="144">
        <f t="shared" si="5"/>
        <v>1.8936730000000002</v>
      </c>
      <c r="C121" s="145">
        <v>1.251724</v>
      </c>
      <c r="D121" s="146"/>
      <c r="E121" s="153">
        <v>0.624697</v>
      </c>
      <c r="F121" s="154">
        <v>0.017252</v>
      </c>
    </row>
    <row r="122" spans="1:6" ht="13.5">
      <c r="A122" s="78" t="s">
        <v>12</v>
      </c>
      <c r="B122" s="144">
        <f t="shared" si="5"/>
        <v>0.030393000000000003</v>
      </c>
      <c r="C122" s="145">
        <f>C123</f>
        <v>0</v>
      </c>
      <c r="D122" s="146">
        <f>D123</f>
        <v>0</v>
      </c>
      <c r="E122" s="146">
        <f>E123</f>
        <v>0.023963</v>
      </c>
      <c r="F122" s="147">
        <f>F123</f>
        <v>0.00643</v>
      </c>
    </row>
    <row r="123" spans="1:6" ht="12.75">
      <c r="A123" s="79" t="s">
        <v>13</v>
      </c>
      <c r="B123" s="148">
        <f t="shared" si="5"/>
        <v>0.030393000000000003</v>
      </c>
      <c r="C123" s="149"/>
      <c r="D123" s="150"/>
      <c r="E123" s="150">
        <v>0.023963</v>
      </c>
      <c r="F123" s="151">
        <v>0.00643</v>
      </c>
    </row>
    <row r="124" spans="1:6" ht="13.5" thickBot="1">
      <c r="A124" s="80" t="s">
        <v>14</v>
      </c>
      <c r="B124" s="155">
        <f t="shared" si="5"/>
        <v>0.055</v>
      </c>
      <c r="C124" s="156"/>
      <c r="D124" s="157"/>
      <c r="E124" s="157">
        <v>0.045</v>
      </c>
      <c r="F124" s="158">
        <v>0.01</v>
      </c>
    </row>
    <row r="125" spans="1:6" ht="13.5" thickBot="1">
      <c r="A125" s="72" t="s">
        <v>19</v>
      </c>
      <c r="B125" s="141">
        <f t="shared" si="5"/>
        <v>3.743459</v>
      </c>
      <c r="C125" s="142">
        <f>C126+C134+C135</f>
        <v>2.314066</v>
      </c>
      <c r="D125" s="142">
        <f>D126+D134+D135</f>
        <v>0</v>
      </c>
      <c r="E125" s="142">
        <f>E126+E134+E135</f>
        <v>0.833063</v>
      </c>
      <c r="F125" s="143">
        <f>F126+F134+F135</f>
        <v>0.59633</v>
      </c>
    </row>
    <row r="126" spans="1:6" ht="13.5">
      <c r="A126" s="78" t="s">
        <v>10</v>
      </c>
      <c r="B126" s="159">
        <f t="shared" si="5"/>
        <v>0.454871</v>
      </c>
      <c r="C126" s="160">
        <f>C127+C128+C129+C130+C131+C132+C133</f>
        <v>0</v>
      </c>
      <c r="D126" s="160">
        <f>D127+D128+D129+D130+D131+D132+D133</f>
        <v>0</v>
      </c>
      <c r="E126" s="160">
        <f>E127+E128+E129+E130+E131+E132+E133</f>
        <v>0.07090600000000001</v>
      </c>
      <c r="F126" s="166">
        <f>F127+F128+F129+F130+F131+F132+F133</f>
        <v>0.383965</v>
      </c>
    </row>
    <row r="127" spans="1:6" ht="12.75">
      <c r="A127" s="79" t="s">
        <v>4</v>
      </c>
      <c r="B127" s="148">
        <f t="shared" si="5"/>
        <v>0.15222</v>
      </c>
      <c r="C127" s="149"/>
      <c r="D127" s="150"/>
      <c r="E127" s="150">
        <v>0.039474</v>
      </c>
      <c r="F127" s="151">
        <v>0.112746</v>
      </c>
    </row>
    <row r="128" spans="1:6" ht="12.75">
      <c r="A128" s="79" t="s">
        <v>17</v>
      </c>
      <c r="B128" s="148">
        <f t="shared" si="5"/>
        <v>0.039665</v>
      </c>
      <c r="C128" s="149"/>
      <c r="D128" s="150"/>
      <c r="E128" s="150">
        <v>0.027485</v>
      </c>
      <c r="F128" s="151">
        <v>0.01218</v>
      </c>
    </row>
    <row r="129" spans="1:6" ht="12.75">
      <c r="A129" s="79" t="s">
        <v>5</v>
      </c>
      <c r="B129" s="148">
        <f t="shared" si="5"/>
        <v>0.262343</v>
      </c>
      <c r="C129" s="149"/>
      <c r="D129" s="150"/>
      <c r="E129" s="150">
        <v>0.003304</v>
      </c>
      <c r="F129" s="151">
        <v>0.259039</v>
      </c>
    </row>
    <row r="130" spans="1:6" ht="12.75">
      <c r="A130" s="79" t="s">
        <v>23</v>
      </c>
      <c r="B130" s="148">
        <f t="shared" si="5"/>
        <v>0</v>
      </c>
      <c r="C130" s="149"/>
      <c r="D130" s="149"/>
      <c r="E130" s="149"/>
      <c r="F130" s="152"/>
    </row>
    <row r="131" spans="1:6" ht="12.75">
      <c r="A131" s="79" t="s">
        <v>24</v>
      </c>
      <c r="B131" s="148">
        <f t="shared" si="5"/>
        <v>7E-05</v>
      </c>
      <c r="C131" s="149"/>
      <c r="D131" s="149"/>
      <c r="E131" s="149">
        <v>7E-05</v>
      </c>
      <c r="F131" s="152"/>
    </row>
    <row r="132" spans="1:6" ht="12.75">
      <c r="A132" s="79" t="s">
        <v>25</v>
      </c>
      <c r="B132" s="148">
        <f t="shared" si="5"/>
        <v>0</v>
      </c>
      <c r="C132" s="149"/>
      <c r="D132" s="149"/>
      <c r="E132" s="149"/>
      <c r="F132" s="152"/>
    </row>
    <row r="133" spans="1:6" ht="12.75">
      <c r="A133" s="79" t="s">
        <v>26</v>
      </c>
      <c r="B133" s="148">
        <f t="shared" si="5"/>
        <v>0.000573</v>
      </c>
      <c r="C133" s="149"/>
      <c r="D133" s="149"/>
      <c r="E133" s="149">
        <v>0.000573</v>
      </c>
      <c r="F133" s="152"/>
    </row>
    <row r="134" spans="1:6" ht="13.5">
      <c r="A134" s="78" t="s">
        <v>0</v>
      </c>
      <c r="B134" s="144">
        <f t="shared" si="5"/>
        <v>2.8453910000000002</v>
      </c>
      <c r="C134" s="145">
        <v>2.175231</v>
      </c>
      <c r="D134" s="146"/>
      <c r="E134" s="153">
        <v>0.52745</v>
      </c>
      <c r="F134" s="154">
        <v>0.14271</v>
      </c>
    </row>
    <row r="135" spans="1:6" ht="13.5">
      <c r="A135" s="78" t="s">
        <v>12</v>
      </c>
      <c r="B135" s="144">
        <f t="shared" si="5"/>
        <v>0.44319699999999995</v>
      </c>
      <c r="C135" s="145">
        <f>C136</f>
        <v>0.138835</v>
      </c>
      <c r="D135" s="146">
        <f>D136</f>
        <v>0</v>
      </c>
      <c r="E135" s="146">
        <f>E136</f>
        <v>0.234707</v>
      </c>
      <c r="F135" s="147">
        <f>F136</f>
        <v>0.069655</v>
      </c>
    </row>
    <row r="136" spans="1:6" ht="12.75">
      <c r="A136" s="79" t="s">
        <v>13</v>
      </c>
      <c r="B136" s="148">
        <f t="shared" si="5"/>
        <v>0.44319699999999995</v>
      </c>
      <c r="C136" s="149">
        <v>0.138835</v>
      </c>
      <c r="D136" s="150"/>
      <c r="E136" s="149">
        <v>0.234707</v>
      </c>
      <c r="F136" s="151">
        <v>0.069655</v>
      </c>
    </row>
    <row r="137" spans="1:6" ht="13.5" thickBot="1">
      <c r="A137" s="80" t="s">
        <v>14</v>
      </c>
      <c r="B137" s="155">
        <f t="shared" si="5"/>
        <v>0.7050000000000001</v>
      </c>
      <c r="C137" s="156">
        <v>0.203</v>
      </c>
      <c r="D137" s="157"/>
      <c r="E137" s="156">
        <v>0.391</v>
      </c>
      <c r="F137" s="158">
        <v>0.111</v>
      </c>
    </row>
    <row r="138" spans="1:6" ht="13.5" thickBot="1">
      <c r="A138" s="72" t="s">
        <v>20</v>
      </c>
      <c r="B138" s="141">
        <f t="shared" si="5"/>
        <v>0.604355</v>
      </c>
      <c r="C138" s="142">
        <f>C139+C147+C148</f>
        <v>0</v>
      </c>
      <c r="D138" s="142">
        <f>D139+D147+D148</f>
        <v>0</v>
      </c>
      <c r="E138" s="142">
        <f>E139+E147+E148</f>
        <v>0.22874</v>
      </c>
      <c r="F138" s="143">
        <f>F139+F147</f>
        <v>0.375615</v>
      </c>
    </row>
    <row r="139" spans="1:6" ht="13.5">
      <c r="A139" s="78" t="s">
        <v>10</v>
      </c>
      <c r="B139" s="159">
        <f t="shared" si="5"/>
        <v>0.266032</v>
      </c>
      <c r="C139" s="160">
        <f>C140+C141+C142+C143+C144+C145+C146</f>
        <v>0</v>
      </c>
      <c r="D139" s="160">
        <f>D140+D141+D142+D143+D144+D145+D146</f>
        <v>0</v>
      </c>
      <c r="E139" s="160">
        <f>E140+E141+E142+E143+E144+E145+E146</f>
        <v>0</v>
      </c>
      <c r="F139" s="166">
        <f>F140+F141+F142+F143+F144+F145+F146</f>
        <v>0.266032</v>
      </c>
    </row>
    <row r="140" spans="1:6" ht="12.75">
      <c r="A140" s="79" t="s">
        <v>4</v>
      </c>
      <c r="B140" s="148">
        <f t="shared" si="5"/>
        <v>0.205627</v>
      </c>
      <c r="C140" s="149"/>
      <c r="D140" s="149"/>
      <c r="E140" s="149"/>
      <c r="F140" s="152">
        <v>0.205627</v>
      </c>
    </row>
    <row r="141" spans="1:6" ht="12.75">
      <c r="A141" s="79" t="s">
        <v>17</v>
      </c>
      <c r="B141" s="148">
        <f t="shared" si="5"/>
        <v>0</v>
      </c>
      <c r="C141" s="149"/>
      <c r="D141" s="149"/>
      <c r="E141" s="149"/>
      <c r="F141" s="152"/>
    </row>
    <row r="142" spans="1:6" ht="12.75">
      <c r="A142" s="79" t="s">
        <v>5</v>
      </c>
      <c r="B142" s="148">
        <f t="shared" si="5"/>
        <v>0.060405</v>
      </c>
      <c r="C142" s="149"/>
      <c r="D142" s="149"/>
      <c r="E142" s="149"/>
      <c r="F142" s="152">
        <v>0.060405</v>
      </c>
    </row>
    <row r="143" spans="1:6" ht="12.75">
      <c r="A143" s="79" t="s">
        <v>23</v>
      </c>
      <c r="B143" s="148">
        <f>SUM(C143:F143)</f>
        <v>0</v>
      </c>
      <c r="C143" s="149"/>
      <c r="D143" s="149"/>
      <c r="E143" s="149"/>
      <c r="F143" s="152"/>
    </row>
    <row r="144" spans="1:6" ht="12.75">
      <c r="A144" s="79" t="s">
        <v>24</v>
      </c>
      <c r="B144" s="148">
        <f>SUM(C144:F144)</f>
        <v>0</v>
      </c>
      <c r="C144" s="149"/>
      <c r="D144" s="149"/>
      <c r="E144" s="149"/>
      <c r="F144" s="152"/>
    </row>
    <row r="145" spans="1:6" ht="12.75">
      <c r="A145" s="79" t="s">
        <v>25</v>
      </c>
      <c r="B145" s="148">
        <f>SUM(C145:F145)</f>
        <v>0</v>
      </c>
      <c r="C145" s="149"/>
      <c r="D145" s="149"/>
      <c r="E145" s="149"/>
      <c r="F145" s="152"/>
    </row>
    <row r="146" spans="1:6" ht="12.75">
      <c r="A146" s="79" t="s">
        <v>26</v>
      </c>
      <c r="B146" s="148">
        <f>SUM(C146:F146)</f>
        <v>0</v>
      </c>
      <c r="C146" s="149"/>
      <c r="D146" s="149"/>
      <c r="E146" s="149"/>
      <c r="F146" s="152"/>
    </row>
    <row r="147" spans="1:6" ht="13.5">
      <c r="A147" s="78" t="s">
        <v>0</v>
      </c>
      <c r="B147" s="163">
        <f>SUM(C147:F147)</f>
        <v>0.307991</v>
      </c>
      <c r="C147" s="164"/>
      <c r="D147" s="164"/>
      <c r="E147" s="164">
        <v>0.198408</v>
      </c>
      <c r="F147" s="165">
        <v>0.109583</v>
      </c>
    </row>
    <row r="148" spans="1:6" ht="13.5">
      <c r="A148" s="78" t="s">
        <v>12</v>
      </c>
      <c r="B148" s="144">
        <f>SUM(C148:F148)</f>
        <v>0.030332</v>
      </c>
      <c r="C148" s="145">
        <f>C149</f>
        <v>0</v>
      </c>
      <c r="D148" s="146">
        <f>D149</f>
        <v>0</v>
      </c>
      <c r="E148" s="146">
        <f>E149</f>
        <v>0.030332</v>
      </c>
      <c r="F148" s="147">
        <f>F149</f>
        <v>0</v>
      </c>
    </row>
    <row r="149" spans="1:6" ht="12.75">
      <c r="A149" s="79" t="s">
        <v>13</v>
      </c>
      <c r="B149" s="148">
        <f>SUM(C149:F149)</f>
        <v>0.030332</v>
      </c>
      <c r="C149" s="149"/>
      <c r="D149" s="150"/>
      <c r="E149" s="150">
        <v>0.030332</v>
      </c>
      <c r="F149" s="151"/>
    </row>
    <row r="150" spans="1:6" ht="13.5" thickBot="1">
      <c r="A150" s="80" t="s">
        <v>14</v>
      </c>
      <c r="B150" s="155">
        <f>SUM(C150:F150)</f>
        <v>0.045</v>
      </c>
      <c r="C150" s="156"/>
      <c r="D150" s="157"/>
      <c r="E150" s="157">
        <v>0.045</v>
      </c>
      <c r="F150" s="158"/>
    </row>
    <row r="151" spans="1:6" ht="13.5" thickBot="1">
      <c r="A151" s="72" t="s">
        <v>21</v>
      </c>
      <c r="B151" s="141">
        <f>SUM(C151:F151)</f>
        <v>1.868656</v>
      </c>
      <c r="C151" s="142">
        <f>C152+C160+C161</f>
        <v>0</v>
      </c>
      <c r="D151" s="142">
        <f>D152+D160+D161</f>
        <v>0</v>
      </c>
      <c r="E151" s="142">
        <f>E152+E160+E161</f>
        <v>1.099852</v>
      </c>
      <c r="F151" s="143">
        <f>F152+F160+F161</f>
        <v>0.7688039999999999</v>
      </c>
    </row>
    <row r="152" spans="1:6" ht="13.5">
      <c r="A152" s="78" t="s">
        <v>10</v>
      </c>
      <c r="B152" s="159">
        <f>SUM(C152:F152)</f>
        <v>0.9253549999999999</v>
      </c>
      <c r="C152" s="160">
        <f>C153+C154+C155+C156+C157+C158+C159</f>
        <v>0</v>
      </c>
      <c r="D152" s="160">
        <f>D153+D154+D155+D156+D157+D158+D159</f>
        <v>0</v>
      </c>
      <c r="E152" s="160">
        <f>E153+E154+E155+E156+E157+E158+E159</f>
        <v>0.32442499999999996</v>
      </c>
      <c r="F152" s="166">
        <f>F153+F154+F155+F156+F157+F158+F159</f>
        <v>0.60093</v>
      </c>
    </row>
    <row r="153" spans="1:6" ht="12.75">
      <c r="A153" s="79" t="s">
        <v>4</v>
      </c>
      <c r="B153" s="148">
        <f>SUM(C153:F153)</f>
        <v>0.552222</v>
      </c>
      <c r="C153" s="149"/>
      <c r="D153" s="150"/>
      <c r="E153" s="150">
        <v>0.174772</v>
      </c>
      <c r="F153" s="151">
        <v>0.37745</v>
      </c>
    </row>
    <row r="154" spans="1:6" ht="12.75">
      <c r="A154" s="79" t="s">
        <v>17</v>
      </c>
      <c r="B154" s="148">
        <f>SUM(C154:F154)</f>
        <v>0.223154</v>
      </c>
      <c r="C154" s="149"/>
      <c r="D154" s="150"/>
      <c r="E154" s="150">
        <v>0.147051</v>
      </c>
      <c r="F154" s="151">
        <v>0.076103</v>
      </c>
    </row>
    <row r="155" spans="1:6" ht="12.75">
      <c r="A155" s="79" t="s">
        <v>5</v>
      </c>
      <c r="B155" s="148">
        <f>SUM(C155:F155)</f>
        <v>0.14814500000000003</v>
      </c>
      <c r="C155" s="149"/>
      <c r="D155" s="150"/>
      <c r="E155" s="150">
        <v>0.001817</v>
      </c>
      <c r="F155" s="151">
        <v>0.146328</v>
      </c>
    </row>
    <row r="156" spans="1:6" ht="12.75">
      <c r="A156" s="79" t="s">
        <v>23</v>
      </c>
      <c r="B156" s="148">
        <f>SUM(C156:F156)</f>
        <v>0</v>
      </c>
      <c r="C156" s="149"/>
      <c r="D156" s="149"/>
      <c r="E156" s="149"/>
      <c r="F156" s="152"/>
    </row>
    <row r="157" spans="1:6" ht="12.75">
      <c r="A157" s="79" t="s">
        <v>24</v>
      </c>
      <c r="B157" s="148">
        <f>SUM(C157:F157)</f>
        <v>0.001004</v>
      </c>
      <c r="C157" s="149"/>
      <c r="D157" s="149"/>
      <c r="E157" s="149"/>
      <c r="F157" s="152">
        <v>0.001004</v>
      </c>
    </row>
    <row r="158" spans="1:6" ht="12.75">
      <c r="A158" s="79" t="s">
        <v>25</v>
      </c>
      <c r="B158" s="148">
        <f>SUM(C158:F158)</f>
        <v>0</v>
      </c>
      <c r="C158" s="149"/>
      <c r="D158" s="149"/>
      <c r="E158" s="149"/>
      <c r="F158" s="152"/>
    </row>
    <row r="159" spans="1:6" ht="12.75">
      <c r="A159" s="79" t="s">
        <v>26</v>
      </c>
      <c r="B159" s="148">
        <f>SUM(C159:F159)</f>
        <v>0.00083</v>
      </c>
      <c r="C159" s="149"/>
      <c r="D159" s="149"/>
      <c r="E159" s="149">
        <v>0.000785</v>
      </c>
      <c r="F159" s="152">
        <v>4.5E-05</v>
      </c>
    </row>
    <row r="160" spans="1:6" ht="13.5">
      <c r="A160" s="78" t="s">
        <v>0</v>
      </c>
      <c r="B160" s="144">
        <f>SUM(C160:F160)</f>
        <v>0.692334</v>
      </c>
      <c r="C160" s="145"/>
      <c r="D160" s="146"/>
      <c r="E160" s="153">
        <v>0.540193</v>
      </c>
      <c r="F160" s="154">
        <v>0.152141</v>
      </c>
    </row>
    <row r="161" spans="1:6" ht="13.5">
      <c r="A161" s="78" t="s">
        <v>12</v>
      </c>
      <c r="B161" s="144">
        <f>SUM(C161:F161)</f>
        <v>0.250967</v>
      </c>
      <c r="C161" s="145">
        <f>C162</f>
        <v>0</v>
      </c>
      <c r="D161" s="146">
        <f>D162</f>
        <v>0</v>
      </c>
      <c r="E161" s="146">
        <f>E162</f>
        <v>0.235234</v>
      </c>
      <c r="F161" s="147">
        <f>F162</f>
        <v>0.015733</v>
      </c>
    </row>
    <row r="162" spans="1:6" ht="12.75">
      <c r="A162" s="79" t="s">
        <v>13</v>
      </c>
      <c r="B162" s="148">
        <f>SUM(C162:F162)</f>
        <v>0.250967</v>
      </c>
      <c r="C162" s="149"/>
      <c r="D162" s="150"/>
      <c r="E162" s="150">
        <v>0.235234</v>
      </c>
      <c r="F162" s="151">
        <v>0.015733</v>
      </c>
    </row>
    <row r="163" spans="1:6" ht="13.5" thickBot="1">
      <c r="A163" s="80" t="s">
        <v>14</v>
      </c>
      <c r="B163" s="155">
        <f>SUM(C163:F163)</f>
        <v>0.386</v>
      </c>
      <c r="C163" s="156"/>
      <c r="D163" s="157"/>
      <c r="E163" s="157">
        <v>0.336</v>
      </c>
      <c r="F163" s="158">
        <v>0.05</v>
      </c>
    </row>
    <row r="164" spans="1:6" ht="13.5" thickBot="1">
      <c r="A164" s="72" t="s">
        <v>22</v>
      </c>
      <c r="B164" s="141">
        <f>SUM(C164:F164)</f>
        <v>2.406465</v>
      </c>
      <c r="C164" s="142">
        <f>C165+C173+C174</f>
        <v>0</v>
      </c>
      <c r="D164" s="142">
        <f>D165+D173+D174</f>
        <v>0</v>
      </c>
      <c r="E164" s="142">
        <f>E165+E173+E174</f>
        <v>1.354509</v>
      </c>
      <c r="F164" s="143">
        <f>F165+F173+F174</f>
        <v>1.0519560000000001</v>
      </c>
    </row>
    <row r="165" spans="1:6" ht="13.5">
      <c r="A165" s="78" t="s">
        <v>10</v>
      </c>
      <c r="B165" s="159">
        <f>SUM(C165:F165)</f>
        <v>1.367365</v>
      </c>
      <c r="C165" s="160">
        <f>C166+C167+C168+C169+C170+C171+C172</f>
        <v>0</v>
      </c>
      <c r="D165" s="160">
        <f>D166+D167+D168+D169+D170+D171+D172</f>
        <v>0</v>
      </c>
      <c r="E165" s="160">
        <f>E166+E167+E168+E169+E170+E171+E172</f>
        <v>0.593749</v>
      </c>
      <c r="F165" s="166">
        <f>F166+F167+F168+F169+F170+F171+F172</f>
        <v>0.773616</v>
      </c>
    </row>
    <row r="166" spans="1:6" ht="13.5">
      <c r="A166" s="78" t="s">
        <v>4</v>
      </c>
      <c r="B166" s="148">
        <f>SUM(C166:F166)</f>
        <v>0.9737089999999999</v>
      </c>
      <c r="C166" s="149"/>
      <c r="D166" s="150"/>
      <c r="E166" s="150">
        <v>0.384472</v>
      </c>
      <c r="F166" s="151">
        <v>0.589237</v>
      </c>
    </row>
    <row r="167" spans="1:6" ht="13.5">
      <c r="A167" s="78" t="s">
        <v>17</v>
      </c>
      <c r="B167" s="148">
        <f>SUM(C167:F167)</f>
        <v>0.34932399999999997</v>
      </c>
      <c r="C167" s="149"/>
      <c r="D167" s="150"/>
      <c r="E167" s="150">
        <v>0.197354</v>
      </c>
      <c r="F167" s="151">
        <v>0.15197</v>
      </c>
    </row>
    <row r="168" spans="1:6" ht="13.5">
      <c r="A168" s="78" t="s">
        <v>5</v>
      </c>
      <c r="B168" s="148">
        <f>SUM(C168:F168)</f>
        <v>0.037286</v>
      </c>
      <c r="C168" s="149"/>
      <c r="D168" s="150"/>
      <c r="E168" s="150">
        <v>0.004962</v>
      </c>
      <c r="F168" s="151">
        <v>0.032324</v>
      </c>
    </row>
    <row r="169" spans="1:6" ht="12.75">
      <c r="A169" s="79" t="s">
        <v>23</v>
      </c>
      <c r="B169" s="148">
        <f>SUM(C169:F169)</f>
        <v>0</v>
      </c>
      <c r="C169" s="149"/>
      <c r="D169" s="149"/>
      <c r="E169" s="149"/>
      <c r="F169" s="152"/>
    </row>
    <row r="170" spans="1:6" ht="12.75">
      <c r="A170" s="79" t="s">
        <v>24</v>
      </c>
      <c r="B170" s="148">
        <f>SUM(C170:F170)</f>
        <v>0.005496</v>
      </c>
      <c r="C170" s="149"/>
      <c r="D170" s="149"/>
      <c r="E170" s="149">
        <v>0.005496</v>
      </c>
      <c r="F170" s="152"/>
    </row>
    <row r="171" spans="1:6" ht="12.75">
      <c r="A171" s="79" t="s">
        <v>25</v>
      </c>
      <c r="B171" s="148">
        <f>SUM(C171:F171)</f>
        <v>0</v>
      </c>
      <c r="C171" s="149"/>
      <c r="D171" s="149"/>
      <c r="E171" s="149"/>
      <c r="F171" s="152"/>
    </row>
    <row r="172" spans="1:6" ht="12.75">
      <c r="A172" s="79" t="s">
        <v>26</v>
      </c>
      <c r="B172" s="148">
        <f>SUM(C172:F172)</f>
        <v>0.00155</v>
      </c>
      <c r="C172" s="149"/>
      <c r="D172" s="149"/>
      <c r="E172" s="149">
        <v>0.001465</v>
      </c>
      <c r="F172" s="152">
        <v>8.5E-05</v>
      </c>
    </row>
    <row r="173" spans="1:6" ht="13.5">
      <c r="A173" s="78" t="s">
        <v>0</v>
      </c>
      <c r="B173" s="144">
        <f>SUM(C173:F173)</f>
        <v>0.896908</v>
      </c>
      <c r="C173" s="145"/>
      <c r="D173" s="146"/>
      <c r="E173" s="153">
        <v>0.727591</v>
      </c>
      <c r="F173" s="154">
        <v>0.169317</v>
      </c>
    </row>
    <row r="174" spans="1:6" ht="13.5">
      <c r="A174" s="78" t="s">
        <v>12</v>
      </c>
      <c r="B174" s="144">
        <f>SUM(C174:F174)</f>
        <v>0.14219199999999999</v>
      </c>
      <c r="C174" s="145">
        <f>C175</f>
        <v>0</v>
      </c>
      <c r="D174" s="146">
        <f>D175</f>
        <v>0</v>
      </c>
      <c r="E174" s="146">
        <f>E175</f>
        <v>0.033169</v>
      </c>
      <c r="F174" s="147">
        <f>F175</f>
        <v>0.109023</v>
      </c>
    </row>
    <row r="175" spans="1:6" ht="12.75">
      <c r="A175" s="79" t="s">
        <v>13</v>
      </c>
      <c r="B175" s="148">
        <f>SUM(C175:F175)</f>
        <v>0.14219199999999999</v>
      </c>
      <c r="C175" s="149"/>
      <c r="D175" s="150"/>
      <c r="E175" s="150">
        <v>0.033169</v>
      </c>
      <c r="F175" s="151">
        <v>0.109023</v>
      </c>
    </row>
    <row r="176" spans="1:6" ht="13.5" thickBot="1">
      <c r="A176" s="80" t="s">
        <v>14</v>
      </c>
      <c r="B176" s="155">
        <f>SUM(C176:F176)</f>
        <v>0.241</v>
      </c>
      <c r="C176" s="156"/>
      <c r="D176" s="157"/>
      <c r="E176" s="157">
        <v>0.061</v>
      </c>
      <c r="F176" s="158">
        <v>0.18</v>
      </c>
    </row>
    <row r="177" spans="1:6" ht="13.5" thickBot="1">
      <c r="A177" s="72" t="s">
        <v>36</v>
      </c>
      <c r="B177" s="141">
        <f>SUM(C177:F177)</f>
        <v>5.322392999999999</v>
      </c>
      <c r="C177" s="142">
        <f>C178+C186+C187</f>
        <v>0</v>
      </c>
      <c r="D177" s="142">
        <f>D178+D186+D187</f>
        <v>0</v>
      </c>
      <c r="E177" s="142">
        <f>E178+E186+E187</f>
        <v>0.9276310000000001</v>
      </c>
      <c r="F177" s="143">
        <f>F178+F186+F187</f>
        <v>4.394761999999999</v>
      </c>
    </row>
    <row r="178" spans="1:6" ht="13.5">
      <c r="A178" s="78" t="s">
        <v>10</v>
      </c>
      <c r="B178" s="159">
        <f>SUM(C178:F178)</f>
        <v>3.420247</v>
      </c>
      <c r="C178" s="160">
        <f>C179+C180+C181+C182+C183+C184+C185</f>
        <v>0</v>
      </c>
      <c r="D178" s="160">
        <f>D179+D180+D181+D182+D183+D184+D185</f>
        <v>0</v>
      </c>
      <c r="E178" s="160">
        <f>E179+E180+E181+E182+E183+E184+E185</f>
        <v>0.024387</v>
      </c>
      <c r="F178" s="166">
        <f>F179+F180+F181+F182+F183+F184+F185</f>
        <v>3.39586</v>
      </c>
    </row>
    <row r="179" spans="1:6" ht="12.75">
      <c r="A179" s="79" t="s">
        <v>4</v>
      </c>
      <c r="B179" s="148">
        <f>SUM(C179:F179)</f>
        <v>0.327388</v>
      </c>
      <c r="C179" s="149"/>
      <c r="D179" s="150"/>
      <c r="E179" s="150">
        <v>0.0028</v>
      </c>
      <c r="F179" s="151">
        <v>0.324588</v>
      </c>
    </row>
    <row r="180" spans="1:6" ht="12.75">
      <c r="A180" s="79" t="s">
        <v>17</v>
      </c>
      <c r="B180" s="148">
        <f>SUM(C180:F180)</f>
        <v>0</v>
      </c>
      <c r="C180" s="149"/>
      <c r="D180" s="150"/>
      <c r="E180" s="150"/>
      <c r="F180" s="151"/>
    </row>
    <row r="181" spans="1:6" ht="12.75">
      <c r="A181" s="79" t="s">
        <v>5</v>
      </c>
      <c r="B181" s="148">
        <f>SUM(C181:F181)</f>
        <v>3.087208</v>
      </c>
      <c r="C181" s="149"/>
      <c r="D181" s="150"/>
      <c r="E181" s="150">
        <v>0.017299</v>
      </c>
      <c r="F181" s="151">
        <v>3.069909</v>
      </c>
    </row>
    <row r="182" spans="1:6" ht="12.75">
      <c r="A182" s="79" t="s">
        <v>23</v>
      </c>
      <c r="B182" s="148">
        <f>SUM(C182:F182)</f>
        <v>0</v>
      </c>
      <c r="C182" s="149"/>
      <c r="D182" s="149"/>
      <c r="E182" s="149"/>
      <c r="F182" s="152"/>
    </row>
    <row r="183" spans="1:6" ht="12.75">
      <c r="A183" s="79" t="s">
        <v>24</v>
      </c>
      <c r="B183" s="148">
        <f>SUM(C183:F183)</f>
        <v>0.005651</v>
      </c>
      <c r="C183" s="149"/>
      <c r="D183" s="149"/>
      <c r="E183" s="149">
        <v>0.004288</v>
      </c>
      <c r="F183" s="152">
        <v>0.001363</v>
      </c>
    </row>
    <row r="184" spans="1:6" ht="12.75">
      <c r="A184" s="79" t="s">
        <v>25</v>
      </c>
      <c r="B184" s="148">
        <f>SUM(C184:F184)</f>
        <v>0</v>
      </c>
      <c r="C184" s="149"/>
      <c r="D184" s="149"/>
      <c r="E184" s="149"/>
      <c r="F184" s="152"/>
    </row>
    <row r="185" spans="1:6" ht="12.75">
      <c r="A185" s="79" t="s">
        <v>26</v>
      </c>
      <c r="B185" s="148">
        <f>SUM(C185:F185)</f>
        <v>0</v>
      </c>
      <c r="C185" s="149"/>
      <c r="D185" s="149"/>
      <c r="E185" s="149"/>
      <c r="F185" s="152"/>
    </row>
    <row r="186" spans="1:6" ht="13.5">
      <c r="A186" s="78" t="s">
        <v>0</v>
      </c>
      <c r="B186" s="144">
        <f>SUM(C186:F186)</f>
        <v>1.6807509999999999</v>
      </c>
      <c r="C186" s="145"/>
      <c r="D186" s="146"/>
      <c r="E186" s="153">
        <v>0.803822</v>
      </c>
      <c r="F186" s="154">
        <v>0.876929</v>
      </c>
    </row>
    <row r="187" spans="1:6" ht="13.5">
      <c r="A187" s="82" t="s">
        <v>12</v>
      </c>
      <c r="B187" s="163">
        <f>SUM(C187:F187)</f>
        <v>0.221395</v>
      </c>
      <c r="C187" s="164">
        <f>C188</f>
        <v>0</v>
      </c>
      <c r="D187" s="153">
        <f>D188</f>
        <v>0</v>
      </c>
      <c r="E187" s="153">
        <f>E188</f>
        <v>0.099422</v>
      </c>
      <c r="F187" s="154">
        <f>F188</f>
        <v>0.121973</v>
      </c>
    </row>
    <row r="188" spans="1:6" ht="12.75">
      <c r="A188" s="79" t="s">
        <v>13</v>
      </c>
      <c r="B188" s="148">
        <f>SUM(C188:F188)</f>
        <v>0.221395</v>
      </c>
      <c r="C188" s="149"/>
      <c r="D188" s="150"/>
      <c r="E188" s="150">
        <v>0.099422</v>
      </c>
      <c r="F188" s="151">
        <v>0.121973</v>
      </c>
    </row>
    <row r="189" spans="1:6" ht="13.5" thickBot="1">
      <c r="A189" s="80" t="s">
        <v>14</v>
      </c>
      <c r="B189" s="155">
        <f>SUM(C189:F189)</f>
        <v>0.377</v>
      </c>
      <c r="C189" s="156"/>
      <c r="D189" s="157"/>
      <c r="E189" s="157">
        <v>0.169</v>
      </c>
      <c r="F189" s="158">
        <v>0.208</v>
      </c>
    </row>
    <row r="190" spans="1:6" ht="13.5" thickBot="1">
      <c r="A190" s="72" t="s">
        <v>30</v>
      </c>
      <c r="B190" s="141">
        <f aca="true" t="shared" si="6" ref="B190:B199">SUM(C190:F190)</f>
        <v>0.356748</v>
      </c>
      <c r="C190" s="142">
        <f>C191+C199+C200</f>
        <v>0</v>
      </c>
      <c r="D190" s="142">
        <f>D191+D199+D200</f>
        <v>0</v>
      </c>
      <c r="E190" s="142">
        <f>E191+E199+E200</f>
        <v>0.335168</v>
      </c>
      <c r="F190" s="143">
        <f>F191+F199+F200</f>
        <v>0.021580000000000002</v>
      </c>
    </row>
    <row r="191" spans="1:6" ht="13.5">
      <c r="A191" s="78" t="s">
        <v>10</v>
      </c>
      <c r="B191" s="159">
        <f t="shared" si="6"/>
        <v>0.022171</v>
      </c>
      <c r="C191" s="160">
        <f>C192+C193+C194+C195+C196+C197+C198</f>
        <v>0</v>
      </c>
      <c r="D191" s="160">
        <f>D192+D193+D194+D195+D196+D197+D198</f>
        <v>0</v>
      </c>
      <c r="E191" s="160">
        <f>E192+E193+E194+E195+E196+E197+E198</f>
        <v>0.000616</v>
      </c>
      <c r="F191" s="166">
        <f>F192+F193+F194+F195+F196+F197+F198</f>
        <v>0.021555</v>
      </c>
    </row>
    <row r="192" spans="1:6" ht="12.75">
      <c r="A192" s="79" t="s">
        <v>4</v>
      </c>
      <c r="B192" s="148">
        <f t="shared" si="6"/>
        <v>0.018755</v>
      </c>
      <c r="C192" s="149"/>
      <c r="D192" s="150"/>
      <c r="E192" s="150"/>
      <c r="F192" s="151">
        <v>0.018755</v>
      </c>
    </row>
    <row r="193" spans="1:6" ht="12.75">
      <c r="A193" s="79" t="s">
        <v>17</v>
      </c>
      <c r="B193" s="148">
        <f t="shared" si="6"/>
        <v>0</v>
      </c>
      <c r="C193" s="149"/>
      <c r="D193" s="150"/>
      <c r="E193" s="150"/>
      <c r="F193" s="151"/>
    </row>
    <row r="194" spans="1:6" ht="12.75">
      <c r="A194" s="79" t="s">
        <v>5</v>
      </c>
      <c r="B194" s="148">
        <f t="shared" si="6"/>
        <v>0.000616</v>
      </c>
      <c r="C194" s="149"/>
      <c r="D194" s="150"/>
      <c r="E194" s="150">
        <v>0.000616</v>
      </c>
      <c r="F194" s="151"/>
    </row>
    <row r="195" spans="1:6" ht="12.75">
      <c r="A195" s="79" t="s">
        <v>23</v>
      </c>
      <c r="B195" s="148">
        <f t="shared" si="6"/>
        <v>0</v>
      </c>
      <c r="C195" s="149"/>
      <c r="D195" s="149"/>
      <c r="E195" s="149"/>
      <c r="F195" s="152"/>
    </row>
    <row r="196" spans="1:6" ht="12.75">
      <c r="A196" s="79" t="s">
        <v>24</v>
      </c>
      <c r="B196" s="148">
        <f t="shared" si="6"/>
        <v>0</v>
      </c>
      <c r="C196" s="149"/>
      <c r="D196" s="149"/>
      <c r="E196" s="149"/>
      <c r="F196" s="152"/>
    </row>
    <row r="197" spans="1:6" ht="12.75">
      <c r="A197" s="79" t="s">
        <v>25</v>
      </c>
      <c r="B197" s="148">
        <f t="shared" si="6"/>
        <v>0</v>
      </c>
      <c r="C197" s="149"/>
      <c r="D197" s="149"/>
      <c r="E197" s="149"/>
      <c r="F197" s="152"/>
    </row>
    <row r="198" spans="1:6" ht="12.75">
      <c r="A198" s="79" t="s">
        <v>26</v>
      </c>
      <c r="B198" s="148">
        <f t="shared" si="6"/>
        <v>0.0028</v>
      </c>
      <c r="C198" s="149"/>
      <c r="D198" s="149"/>
      <c r="E198" s="149"/>
      <c r="F198" s="152">
        <v>0.0028</v>
      </c>
    </row>
    <row r="199" spans="1:6" ht="13.5">
      <c r="A199" s="83" t="s">
        <v>0</v>
      </c>
      <c r="B199" s="167">
        <f t="shared" si="6"/>
        <v>0.189132</v>
      </c>
      <c r="C199" s="164"/>
      <c r="D199" s="153"/>
      <c r="E199" s="153">
        <v>0.189107</v>
      </c>
      <c r="F199" s="154">
        <v>2.5E-05</v>
      </c>
    </row>
    <row r="200" spans="1:6" ht="13.5">
      <c r="A200" s="82" t="s">
        <v>12</v>
      </c>
      <c r="B200" s="163">
        <f>SUM(C200:F200)</f>
        <v>0.145445</v>
      </c>
      <c r="C200" s="164">
        <f>C201</f>
        <v>0</v>
      </c>
      <c r="D200" s="153">
        <f>D201</f>
        <v>0</v>
      </c>
      <c r="E200" s="153">
        <f>E201</f>
        <v>0.145445</v>
      </c>
      <c r="F200" s="154">
        <f>F201</f>
        <v>0</v>
      </c>
    </row>
    <row r="201" spans="1:6" ht="12.75">
      <c r="A201" s="79" t="s">
        <v>13</v>
      </c>
      <c r="B201" s="148">
        <f>SUM(C201:F201)</f>
        <v>0.145445</v>
      </c>
      <c r="C201" s="149"/>
      <c r="D201" s="150"/>
      <c r="E201" s="150">
        <v>0.145445</v>
      </c>
      <c r="F201" s="151"/>
    </row>
    <row r="202" spans="1:6" ht="13.5" thickBot="1">
      <c r="A202" s="80" t="s">
        <v>14</v>
      </c>
      <c r="B202" s="155">
        <f>SUM(C202:F202)</f>
        <v>0.278</v>
      </c>
      <c r="C202" s="156"/>
      <c r="D202" s="157"/>
      <c r="E202" s="157">
        <v>0.278</v>
      </c>
      <c r="F202" s="158"/>
    </row>
  </sheetData>
  <sheetProtection/>
  <mergeCells count="3">
    <mergeCell ref="B4:F4"/>
    <mergeCell ref="A5:A6"/>
    <mergeCell ref="B5:F5"/>
  </mergeCells>
  <conditionalFormatting sqref="C134">
    <cfRule type="containsText" priority="327" dxfId="273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2"/>
  <sheetViews>
    <sheetView zoomScale="86" zoomScaleNormal="86" zoomScalePageLayoutView="0" workbookViewId="0" topLeftCell="A1">
      <selection activeCell="E52" sqref="E52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1.00390625" style="195" customWidth="1"/>
    <col min="8" max="8" width="18.421875" style="218" customWidth="1"/>
    <col min="9" max="9" width="27.28125" style="218" customWidth="1"/>
    <col min="10" max="10" width="49.140625" style="218" customWidth="1"/>
    <col min="11" max="11" width="13.8515625" style="208" customWidth="1"/>
    <col min="12" max="13" width="9.140625" style="208" customWidth="1"/>
    <col min="14" max="14" width="15.8515625" style="218" customWidth="1"/>
    <col min="15" max="15" width="9.140625" style="218" customWidth="1"/>
    <col min="16" max="16384" width="9.140625" style="1" customWidth="1"/>
  </cols>
  <sheetData>
    <row r="1" spans="1:15" s="12" customFormat="1" ht="15.75">
      <c r="A1" s="9" t="s">
        <v>51</v>
      </c>
      <c r="B1" s="13"/>
      <c r="C1" s="14"/>
      <c r="D1" s="14"/>
      <c r="E1" s="14"/>
      <c r="F1" s="14"/>
      <c r="G1" s="5"/>
      <c r="H1" s="215"/>
      <c r="I1" s="215"/>
      <c r="J1" s="215"/>
      <c r="K1" s="206"/>
      <c r="L1" s="206"/>
      <c r="M1" s="206"/>
      <c r="N1" s="215"/>
      <c r="O1" s="215"/>
    </row>
    <row r="2" spans="1:15" s="3" customFormat="1" ht="15.75" customHeight="1">
      <c r="A2" s="16" t="s">
        <v>37</v>
      </c>
      <c r="B2" s="11"/>
      <c r="C2" s="11"/>
      <c r="D2" s="11"/>
      <c r="E2" s="11"/>
      <c r="F2" s="11"/>
      <c r="G2" s="4"/>
      <c r="H2" s="216"/>
      <c r="I2" s="216"/>
      <c r="J2" s="216"/>
      <c r="K2" s="11"/>
      <c r="L2" s="11"/>
      <c r="M2" s="11"/>
      <c r="N2" s="216"/>
      <c r="O2" s="216"/>
    </row>
    <row r="3" spans="1:15" s="3" customFormat="1" ht="15.75" customHeight="1" thickBot="1">
      <c r="A3" s="6"/>
      <c r="B3" s="10"/>
      <c r="C3" s="10"/>
      <c r="D3" s="10"/>
      <c r="E3" s="10"/>
      <c r="F3" s="10"/>
      <c r="G3" s="4"/>
      <c r="H3" s="216"/>
      <c r="I3" s="216"/>
      <c r="J3" s="216"/>
      <c r="K3" s="11"/>
      <c r="L3" s="11"/>
      <c r="M3" s="11"/>
      <c r="N3" s="216"/>
      <c r="O3" s="216"/>
    </row>
    <row r="4" spans="1:15" s="2" customFormat="1" ht="15.75" customHeight="1" thickBot="1">
      <c r="A4" s="7"/>
      <c r="B4" s="256" t="s">
        <v>52</v>
      </c>
      <c r="C4" s="257"/>
      <c r="D4" s="257"/>
      <c r="E4" s="257"/>
      <c r="F4" s="258"/>
      <c r="G4" s="196"/>
      <c r="H4" s="217"/>
      <c r="I4" s="217"/>
      <c r="J4" s="217"/>
      <c r="K4" s="207"/>
      <c r="L4" s="207"/>
      <c r="M4" s="207"/>
      <c r="N4" s="217"/>
      <c r="O4" s="217"/>
    </row>
    <row r="5" spans="1:15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  <c r="G5" s="196"/>
      <c r="H5" s="217"/>
      <c r="I5" s="217"/>
      <c r="J5" s="217"/>
      <c r="K5" s="207"/>
      <c r="L5" s="207"/>
      <c r="M5" s="207"/>
      <c r="N5" s="217"/>
      <c r="O5" s="217"/>
    </row>
    <row r="6" spans="1:15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196"/>
      <c r="H6" s="217"/>
      <c r="I6" s="217"/>
      <c r="J6" s="217"/>
      <c r="K6" s="207"/>
      <c r="L6" s="207"/>
      <c r="M6" s="207"/>
      <c r="N6" s="217"/>
      <c r="O6" s="217"/>
    </row>
    <row r="7" spans="1:10" ht="18.75" customHeight="1" thickBot="1">
      <c r="A7" s="54" t="s">
        <v>31</v>
      </c>
      <c r="B7" s="44">
        <f aca="true" t="shared" si="0" ref="B7:F19">B31+B47+B60+B73+B86+B99+B112+B125+B138+B151+B164+B177+B190</f>
        <v>99.987332</v>
      </c>
      <c r="C7" s="45">
        <f t="shared" si="0"/>
        <v>32.27965699999999</v>
      </c>
      <c r="D7" s="45">
        <f t="shared" si="0"/>
        <v>0.722266</v>
      </c>
      <c r="E7" s="46">
        <f t="shared" si="0"/>
        <v>27.231592999999997</v>
      </c>
      <c r="F7" s="46">
        <f>F8+F16+F20+F17</f>
        <v>39.753816</v>
      </c>
      <c r="J7" s="180"/>
    </row>
    <row r="8" spans="1:10" ht="13.5">
      <c r="A8" s="55" t="s">
        <v>10</v>
      </c>
      <c r="B8" s="17">
        <f>SUM(C8:F8)</f>
        <v>30.820124</v>
      </c>
      <c r="C8" s="18">
        <f>C9+C10+C11+C12+C13+C14+C15</f>
        <v>0.07401200000000001</v>
      </c>
      <c r="D8" s="18">
        <f>D9+D10+D11+D12+D13+D14+D15</f>
        <v>0.00078</v>
      </c>
      <c r="E8" s="18">
        <f>E9+E10+E11+E12+E13+E14+E15</f>
        <v>1.9366740000000002</v>
      </c>
      <c r="F8" s="19">
        <f>F9+F10+F11+F12+F13+F14+F15</f>
        <v>28.808658</v>
      </c>
      <c r="H8" s="213"/>
      <c r="J8" s="180"/>
    </row>
    <row r="9" spans="1:10" ht="12.75">
      <c r="A9" s="56" t="s">
        <v>4</v>
      </c>
      <c r="B9" s="20">
        <f>SUM(C9:F9)</f>
        <v>11.275587999999999</v>
      </c>
      <c r="C9" s="21">
        <f>C33+C49+C62+C75+C88+C101+C114+C127+C140+C153+C166+C179+C192</f>
        <v>0.005763</v>
      </c>
      <c r="D9" s="21">
        <f t="shared" si="0"/>
        <v>0</v>
      </c>
      <c r="E9" s="21">
        <f t="shared" si="0"/>
        <v>0.980151</v>
      </c>
      <c r="F9" s="22">
        <f t="shared" si="0"/>
        <v>10.289674</v>
      </c>
      <c r="H9" s="212"/>
      <c r="J9" s="180"/>
    </row>
    <row r="10" spans="1:10" ht="12.75">
      <c r="A10" s="56" t="s">
        <v>11</v>
      </c>
      <c r="B10" s="20">
        <f>SUM(C10:F10)</f>
        <v>0.799701</v>
      </c>
      <c r="C10" s="21">
        <f t="shared" si="0"/>
        <v>0</v>
      </c>
      <c r="D10" s="21">
        <f t="shared" si="0"/>
        <v>0</v>
      </c>
      <c r="E10" s="21">
        <f t="shared" si="0"/>
        <v>0.40421300000000004</v>
      </c>
      <c r="F10" s="22">
        <f t="shared" si="0"/>
        <v>0.395488</v>
      </c>
      <c r="H10" s="212"/>
      <c r="J10" s="180"/>
    </row>
    <row r="11" spans="1:10" ht="12.75">
      <c r="A11" s="56" t="s">
        <v>5</v>
      </c>
      <c r="B11" s="20">
        <f>SUM(C11:F11)</f>
        <v>18.41173</v>
      </c>
      <c r="C11" s="21">
        <f t="shared" si="0"/>
        <v>0.016421</v>
      </c>
      <c r="D11" s="21">
        <f t="shared" si="0"/>
        <v>0.00078</v>
      </c>
      <c r="E11" s="21">
        <f t="shared" si="0"/>
        <v>0.31951900000000005</v>
      </c>
      <c r="F11" s="22">
        <f t="shared" si="0"/>
        <v>18.07501</v>
      </c>
      <c r="H11" s="212"/>
      <c r="J11" s="180"/>
    </row>
    <row r="12" spans="1:10" ht="12.75">
      <c r="A12" s="56" t="s">
        <v>23</v>
      </c>
      <c r="B12" s="20">
        <f aca="true" t="shared" si="1" ref="B12:B22">SUM(C12:F12)</f>
        <v>0.018574</v>
      </c>
      <c r="C12" s="21">
        <f t="shared" si="0"/>
        <v>0</v>
      </c>
      <c r="D12" s="21">
        <f t="shared" si="0"/>
        <v>0</v>
      </c>
      <c r="E12" s="21">
        <f t="shared" si="0"/>
        <v>0.018574</v>
      </c>
      <c r="F12" s="22">
        <f t="shared" si="0"/>
        <v>0</v>
      </c>
      <c r="H12" s="212"/>
      <c r="J12" s="180"/>
    </row>
    <row r="13" spans="1:11" ht="12.75">
      <c r="A13" s="56" t="s">
        <v>24</v>
      </c>
      <c r="B13" s="20">
        <f t="shared" si="1"/>
        <v>0.155393</v>
      </c>
      <c r="C13" s="21">
        <f t="shared" si="0"/>
        <v>0</v>
      </c>
      <c r="D13" s="21">
        <f t="shared" si="0"/>
        <v>0</v>
      </c>
      <c r="E13" s="21">
        <f t="shared" si="0"/>
        <v>0.11780299999999999</v>
      </c>
      <c r="F13" s="22">
        <f t="shared" si="0"/>
        <v>0.037590000000000005</v>
      </c>
      <c r="J13" s="226"/>
      <c r="K13" s="225"/>
    </row>
    <row r="14" spans="1:11" ht="12.75">
      <c r="A14" s="56" t="s">
        <v>25</v>
      </c>
      <c r="B14" s="20">
        <f t="shared" si="1"/>
        <v>0.145043</v>
      </c>
      <c r="C14" s="21">
        <f t="shared" si="0"/>
        <v>0.049298</v>
      </c>
      <c r="D14" s="21">
        <f t="shared" si="0"/>
        <v>0</v>
      </c>
      <c r="E14" s="21">
        <f>E38+E54+E67+E80+E93+E106+E119+E132+E145+E158+E171+E184+E197</f>
        <v>0.091247</v>
      </c>
      <c r="F14" s="22">
        <f t="shared" si="0"/>
        <v>0.004498</v>
      </c>
      <c r="J14" s="226"/>
      <c r="K14" s="225"/>
    </row>
    <row r="15" spans="1:10" ht="12.75">
      <c r="A15" s="56" t="s">
        <v>26</v>
      </c>
      <c r="B15" s="20">
        <f t="shared" si="1"/>
        <v>0.014095</v>
      </c>
      <c r="C15" s="21">
        <f t="shared" si="0"/>
        <v>0.00253</v>
      </c>
      <c r="D15" s="21">
        <f t="shared" si="0"/>
        <v>0</v>
      </c>
      <c r="E15" s="21">
        <f t="shared" si="0"/>
        <v>0.005167000000000001</v>
      </c>
      <c r="F15" s="22">
        <f t="shared" si="0"/>
        <v>0.006398</v>
      </c>
      <c r="J15" s="180"/>
    </row>
    <row r="16" spans="1:10" ht="13.5">
      <c r="A16" s="55" t="s">
        <v>0</v>
      </c>
      <c r="B16" s="23">
        <f t="shared" si="1"/>
        <v>44.287071999999995</v>
      </c>
      <c r="C16" s="202">
        <f t="shared" si="0"/>
        <v>18.034183999999996</v>
      </c>
      <c r="D16" s="202">
        <f t="shared" si="0"/>
        <v>0.624221</v>
      </c>
      <c r="E16" s="202">
        <f t="shared" si="0"/>
        <v>15.963684000000002</v>
      </c>
      <c r="F16" s="203">
        <f t="shared" si="0"/>
        <v>9.664983000000001</v>
      </c>
      <c r="J16" s="180"/>
    </row>
    <row r="17" spans="1:10" ht="13.5">
      <c r="A17" s="55" t="s">
        <v>12</v>
      </c>
      <c r="B17" s="23">
        <f t="shared" si="1"/>
        <v>23.053198</v>
      </c>
      <c r="C17" s="24">
        <f t="shared" si="0"/>
        <v>12.344522999999999</v>
      </c>
      <c r="D17" s="24">
        <f t="shared" si="0"/>
        <v>0.097265</v>
      </c>
      <c r="E17" s="24">
        <f t="shared" si="0"/>
        <v>9.331235</v>
      </c>
      <c r="F17" s="25">
        <f t="shared" si="0"/>
        <v>1.280175</v>
      </c>
      <c r="J17" s="180"/>
    </row>
    <row r="18" spans="1:10" ht="13.5">
      <c r="A18" s="56" t="s">
        <v>13</v>
      </c>
      <c r="B18" s="204">
        <f t="shared" si="1"/>
        <v>23.053198</v>
      </c>
      <c r="C18" s="24">
        <f t="shared" si="0"/>
        <v>12.344522999999999</v>
      </c>
      <c r="D18" s="24">
        <f t="shared" si="0"/>
        <v>0.097265</v>
      </c>
      <c r="E18" s="24">
        <f t="shared" si="0"/>
        <v>9.331235</v>
      </c>
      <c r="F18" s="25">
        <f t="shared" si="0"/>
        <v>1.280175</v>
      </c>
      <c r="J18" s="180"/>
    </row>
    <row r="19" spans="1:10" ht="12.75">
      <c r="A19" s="57" t="s">
        <v>14</v>
      </c>
      <c r="B19" s="58">
        <f>SUM(C19:F19)</f>
        <v>34.94</v>
      </c>
      <c r="C19" s="21">
        <f t="shared" si="0"/>
        <v>17.451999999999998</v>
      </c>
      <c r="D19" s="21">
        <f t="shared" si="0"/>
        <v>0.161</v>
      </c>
      <c r="E19" s="21">
        <f t="shared" si="0"/>
        <v>15.145</v>
      </c>
      <c r="F19" s="22">
        <f t="shared" si="0"/>
        <v>2.1820000000000004</v>
      </c>
      <c r="J19" s="180"/>
    </row>
    <row r="20" spans="1:6" ht="13.5">
      <c r="A20" s="55" t="s">
        <v>15</v>
      </c>
      <c r="B20" s="23">
        <f t="shared" si="1"/>
        <v>1.826938</v>
      </c>
      <c r="C20" s="24">
        <f>C21</f>
        <v>1.826938</v>
      </c>
      <c r="D20" s="26"/>
      <c r="E20" s="26"/>
      <c r="F20" s="27"/>
    </row>
    <row r="21" spans="1:6" ht="12.75">
      <c r="A21" s="56" t="s">
        <v>13</v>
      </c>
      <c r="B21" s="20">
        <f t="shared" si="1"/>
        <v>1.826938</v>
      </c>
      <c r="C21" s="21">
        <f>C45</f>
        <v>1.826938</v>
      </c>
      <c r="D21" s="28"/>
      <c r="E21" s="28"/>
      <c r="F21" s="29"/>
    </row>
    <row r="22" spans="1:6" ht="12.75">
      <c r="A22" s="60" t="s">
        <v>16</v>
      </c>
      <c r="B22" s="58">
        <f t="shared" si="1"/>
        <v>3.283</v>
      </c>
      <c r="C22" s="59">
        <f>C46</f>
        <v>3.283</v>
      </c>
      <c r="D22" s="30"/>
      <c r="E22" s="30"/>
      <c r="F22" s="31"/>
    </row>
    <row r="23" spans="1:9" ht="13.5">
      <c r="A23" s="55" t="s">
        <v>32</v>
      </c>
      <c r="B23" s="23">
        <f>SUM(C23:F23)</f>
        <v>2.369031</v>
      </c>
      <c r="C23" s="24">
        <f>C24</f>
        <v>2.369031</v>
      </c>
      <c r="D23" s="26">
        <f>D24</f>
        <v>0</v>
      </c>
      <c r="E23" s="26">
        <f>E24</f>
        <v>0</v>
      </c>
      <c r="F23" s="27">
        <f>F24</f>
        <v>0</v>
      </c>
      <c r="H23" s="213"/>
      <c r="I23" s="180"/>
    </row>
    <row r="24" spans="1:9" ht="12.75">
      <c r="A24" s="56" t="s">
        <v>13</v>
      </c>
      <c r="B24" s="20">
        <f>SUM(C24:F24)</f>
        <v>2.369031</v>
      </c>
      <c r="C24" s="21">
        <f>C58</f>
        <v>2.369031</v>
      </c>
      <c r="D24" s="28"/>
      <c r="E24" s="28"/>
      <c r="F24" s="29"/>
      <c r="H24" s="180"/>
      <c r="I24" s="205"/>
    </row>
    <row r="25" spans="1:9" ht="12.75" customHeight="1" thickBot="1">
      <c r="A25" s="61" t="s">
        <v>14</v>
      </c>
      <c r="B25" s="32">
        <f>SUM(C25:F25)</f>
        <v>5.316</v>
      </c>
      <c r="C25" s="62">
        <f>C59</f>
        <v>5.316</v>
      </c>
      <c r="D25" s="33"/>
      <c r="E25" s="33"/>
      <c r="F25" s="34"/>
      <c r="H25" s="180"/>
      <c r="I25" s="180"/>
    </row>
    <row r="26" spans="1:9" ht="12.75" customHeight="1" hidden="1" thickBot="1">
      <c r="A26" s="88"/>
      <c r="B26" s="89"/>
      <c r="C26" s="90"/>
      <c r="D26" s="91"/>
      <c r="E26" s="91"/>
      <c r="F26" s="92"/>
      <c r="H26" s="180"/>
      <c r="I26" s="180"/>
    </row>
    <row r="27" spans="1:9" ht="12.75" customHeight="1" hidden="1" thickBot="1">
      <c r="A27" s="93"/>
      <c r="B27" s="94"/>
      <c r="C27" s="95"/>
      <c r="D27" s="96"/>
      <c r="E27" s="96"/>
      <c r="F27" s="97"/>
      <c r="H27" s="180"/>
      <c r="I27" s="180"/>
    </row>
    <row r="28" spans="1:9" ht="12.75" customHeight="1" hidden="1" thickBot="1">
      <c r="A28" s="98"/>
      <c r="B28" s="99"/>
      <c r="C28" s="100"/>
      <c r="D28" s="101"/>
      <c r="E28" s="101"/>
      <c r="F28" s="102"/>
      <c r="H28" s="180"/>
      <c r="I28" s="180"/>
    </row>
    <row r="29" spans="1:9" ht="12.75" customHeight="1" hidden="1" thickBot="1">
      <c r="A29" s="103"/>
      <c r="B29" s="104"/>
      <c r="C29" s="105"/>
      <c r="D29" s="106"/>
      <c r="E29" s="107"/>
      <c r="F29" s="108"/>
      <c r="H29" s="180"/>
      <c r="I29" s="180"/>
    </row>
    <row r="30" spans="1:9" ht="12.75" customHeight="1" hidden="1" thickBot="1">
      <c r="A30" s="109"/>
      <c r="B30" s="110"/>
      <c r="C30" s="111"/>
      <c r="D30" s="112"/>
      <c r="E30" s="112"/>
      <c r="F30" s="113"/>
      <c r="H30" s="180"/>
      <c r="I30" s="180"/>
    </row>
    <row r="31" spans="1:9" ht="13.5" customHeight="1" thickBot="1">
      <c r="A31" s="63" t="s">
        <v>39</v>
      </c>
      <c r="B31" s="114">
        <f>SUM(C31:F31)</f>
        <v>60.41609199999999</v>
      </c>
      <c r="C31" s="115">
        <f>C32+C40+C44+C41</f>
        <v>15.648819</v>
      </c>
      <c r="D31" s="115">
        <f>D32+D40+D44+D41</f>
        <v>0.552743</v>
      </c>
      <c r="E31" s="115">
        <f>E32+E40+E44+E41</f>
        <v>18.032973</v>
      </c>
      <c r="F31" s="116">
        <f>F32+F40+F44+F41</f>
        <v>26.181557</v>
      </c>
      <c r="H31" s="180"/>
      <c r="I31" s="180"/>
    </row>
    <row r="32" spans="1:9" ht="12.75" customHeight="1">
      <c r="A32" s="55" t="s">
        <v>10</v>
      </c>
      <c r="B32" s="117">
        <f>SUM(C32:F32)</f>
        <v>19.373517000000003</v>
      </c>
      <c r="C32" s="118">
        <f>C33+C34+C35+C36+C37+C38+C39</f>
        <v>0.024314000000000002</v>
      </c>
      <c r="D32" s="118">
        <f>D33+D34+D35+D36+D37+D38+D39</f>
        <v>0.00078</v>
      </c>
      <c r="E32" s="118">
        <f>E33+E34+E35+E36+E37+E38+E39</f>
        <v>0.604683</v>
      </c>
      <c r="F32" s="194">
        <f>F33+F34+F35+F36+F37+F38+F39</f>
        <v>18.743740000000003</v>
      </c>
      <c r="H32" s="180"/>
      <c r="I32" s="180"/>
    </row>
    <row r="33" spans="1:9" ht="12.75" customHeight="1">
      <c r="A33" s="56" t="s">
        <v>4</v>
      </c>
      <c r="B33" s="121">
        <f>SUM(C33:F33)</f>
        <v>4.8461989999999995</v>
      </c>
      <c r="C33" s="122">
        <v>0.005763</v>
      </c>
      <c r="D33" s="122"/>
      <c r="E33" s="122">
        <f>0.011147+0.177656</f>
        <v>0.188803</v>
      </c>
      <c r="F33" s="123">
        <f>0.002488+4.649145</f>
        <v>4.6516329999999995</v>
      </c>
      <c r="H33" s="213"/>
      <c r="I33" s="180"/>
    </row>
    <row r="34" spans="1:9" ht="12.75" customHeight="1">
      <c r="A34" s="56" t="s">
        <v>11</v>
      </c>
      <c r="B34" s="121">
        <f>SUM(C34:F34)</f>
        <v>0.056615</v>
      </c>
      <c r="C34" s="122"/>
      <c r="D34" s="122"/>
      <c r="E34" s="122">
        <v>0.012</v>
      </c>
      <c r="F34" s="123">
        <f>0.002264+0.042351</f>
        <v>0.044615</v>
      </c>
      <c r="H34" s="212"/>
      <c r="I34" s="180"/>
    </row>
    <row r="35" spans="1:14" ht="12.75" customHeight="1">
      <c r="A35" s="56" t="s">
        <v>5</v>
      </c>
      <c r="B35" s="121">
        <f>SUM(C35:F35)</f>
        <v>14.305416000000001</v>
      </c>
      <c r="C35" s="122">
        <f>0.016212+0.000209</f>
        <v>0.016421</v>
      </c>
      <c r="D35" s="122">
        <v>0.00078</v>
      </c>
      <c r="E35" s="122">
        <f>0.038636+0.235472</f>
        <v>0.27410799999999996</v>
      </c>
      <c r="F35" s="123">
        <f>0.005271+14.008836</f>
        <v>14.014107000000001</v>
      </c>
      <c r="H35" s="212"/>
      <c r="I35" s="180"/>
      <c r="M35" s="223"/>
      <c r="N35" s="219"/>
    </row>
    <row r="36" spans="1:14" ht="12.75" customHeight="1">
      <c r="A36" s="56" t="s">
        <v>23</v>
      </c>
      <c r="B36" s="121">
        <f>SUM(C36:F36)</f>
        <v>0.018574</v>
      </c>
      <c r="C36" s="122"/>
      <c r="D36" s="122"/>
      <c r="E36" s="122">
        <v>0.018574</v>
      </c>
      <c r="F36" s="123"/>
      <c r="H36" s="212"/>
      <c r="I36" s="180"/>
      <c r="J36" s="220"/>
      <c r="M36" s="224"/>
      <c r="N36" s="221"/>
    </row>
    <row r="37" spans="1:14" ht="12.75" customHeight="1">
      <c r="A37" s="56" t="s">
        <v>24</v>
      </c>
      <c r="B37" s="121">
        <f>SUM(C37:F37)</f>
        <v>0.13587</v>
      </c>
      <c r="C37" s="122"/>
      <c r="D37" s="122"/>
      <c r="E37" s="122">
        <v>0.107648</v>
      </c>
      <c r="F37" s="123">
        <v>0.028222</v>
      </c>
      <c r="H37" s="212"/>
      <c r="I37" s="180"/>
      <c r="J37" s="219"/>
      <c r="M37" s="224"/>
      <c r="N37" s="222"/>
    </row>
    <row r="38" spans="1:14" ht="12.75" customHeight="1">
      <c r="A38" s="56" t="s">
        <v>25</v>
      </c>
      <c r="B38" s="121">
        <f>SUM(C38:F38)</f>
        <v>0.004498</v>
      </c>
      <c r="C38" s="122"/>
      <c r="D38" s="122"/>
      <c r="E38" s="122"/>
      <c r="F38" s="123">
        <v>0.004498</v>
      </c>
      <c r="H38" s="214"/>
      <c r="I38" s="180"/>
      <c r="J38" s="220"/>
      <c r="M38" s="224"/>
      <c r="N38" s="219"/>
    </row>
    <row r="39" spans="1:14" ht="12.75" customHeight="1">
      <c r="A39" s="56" t="s">
        <v>26</v>
      </c>
      <c r="B39" s="121">
        <f>SUM(C39:F39)</f>
        <v>0.006345</v>
      </c>
      <c r="C39" s="122">
        <v>0.00213</v>
      </c>
      <c r="D39" s="122"/>
      <c r="E39" s="122">
        <v>0.00355</v>
      </c>
      <c r="F39" s="123">
        <v>0.000665</v>
      </c>
      <c r="H39" s="212"/>
      <c r="I39" s="180"/>
      <c r="J39" s="220"/>
      <c r="M39" s="224"/>
      <c r="N39" s="219"/>
    </row>
    <row r="40" spans="1:14" ht="12.75" customHeight="1">
      <c r="A40" s="55" t="s">
        <v>0</v>
      </c>
      <c r="B40" s="124">
        <f aca="true" t="shared" si="2" ref="B40:B51">SUM(C40:F40)</f>
        <v>25.748052</v>
      </c>
      <c r="C40" s="127">
        <f>0.333103+9.023482</f>
        <v>9.356584999999999</v>
      </c>
      <c r="D40" s="127">
        <f>0.010704+0.443994</f>
        <v>0.454698</v>
      </c>
      <c r="E40" s="127">
        <f>0.795655+8.531362</f>
        <v>9.327017</v>
      </c>
      <c r="F40" s="128">
        <f>6.065842+0.54391</f>
        <v>6.609752</v>
      </c>
      <c r="H40" s="212"/>
      <c r="I40" s="180"/>
      <c r="J40" s="220"/>
      <c r="M40" s="224"/>
      <c r="N40" s="220"/>
    </row>
    <row r="41" spans="1:14" ht="12.75" customHeight="1">
      <c r="A41" s="55" t="s">
        <v>12</v>
      </c>
      <c r="B41" s="124">
        <f t="shared" si="2"/>
        <v>13.467585</v>
      </c>
      <c r="C41" s="127">
        <f>C42</f>
        <v>4.440982</v>
      </c>
      <c r="D41" s="127">
        <f>D42</f>
        <v>0.097265</v>
      </c>
      <c r="E41" s="127">
        <f>E42</f>
        <v>8.101272999999999</v>
      </c>
      <c r="F41" s="128">
        <f>F42</f>
        <v>0.8280649999999999</v>
      </c>
      <c r="H41" s="212"/>
      <c r="I41" s="180"/>
      <c r="J41" s="219"/>
      <c r="M41" s="224"/>
      <c r="N41" s="219"/>
    </row>
    <row r="42" spans="1:14" ht="12.75" customHeight="1">
      <c r="A42" s="56" t="s">
        <v>13</v>
      </c>
      <c r="B42" s="121">
        <f t="shared" si="2"/>
        <v>13.467585</v>
      </c>
      <c r="C42" s="122">
        <f>1.417774+3.023208</f>
        <v>4.440982</v>
      </c>
      <c r="D42" s="130">
        <v>0.097265</v>
      </c>
      <c r="E42" s="130">
        <f>7.68073+0.420543</f>
        <v>8.101272999999999</v>
      </c>
      <c r="F42" s="131">
        <f>0.066514+0.761551</f>
        <v>0.8280649999999999</v>
      </c>
      <c r="H42" s="212"/>
      <c r="I42" s="180"/>
      <c r="J42" s="220"/>
      <c r="M42" s="224"/>
      <c r="N42" s="220"/>
    </row>
    <row r="43" spans="1:14" ht="12.75" customHeight="1">
      <c r="A43" s="57" t="s">
        <v>14</v>
      </c>
      <c r="B43" s="132">
        <f t="shared" si="2"/>
        <v>20.971999999999998</v>
      </c>
      <c r="C43" s="129">
        <f>3.897+2.303</f>
        <v>6.199999999999999</v>
      </c>
      <c r="D43" s="133">
        <v>0.161</v>
      </c>
      <c r="E43" s="133">
        <f>12.471+0.632</f>
        <v>13.103</v>
      </c>
      <c r="F43" s="134">
        <f>1.378+0.13</f>
        <v>1.508</v>
      </c>
      <c r="H43" s="214"/>
      <c r="I43" s="180"/>
      <c r="J43" s="220"/>
      <c r="M43" s="224"/>
      <c r="N43" s="219"/>
    </row>
    <row r="44" spans="1:14" ht="12.75" customHeight="1">
      <c r="A44" s="55" t="s">
        <v>15</v>
      </c>
      <c r="B44" s="124">
        <f t="shared" si="2"/>
        <v>1.826938</v>
      </c>
      <c r="C44" s="127">
        <f>C45</f>
        <v>1.826938</v>
      </c>
      <c r="D44" s="125">
        <f>D45</f>
        <v>0</v>
      </c>
      <c r="E44" s="125">
        <f>E45</f>
        <v>0</v>
      </c>
      <c r="F44" s="135">
        <f>F45</f>
        <v>0</v>
      </c>
      <c r="H44" s="212"/>
      <c r="I44" s="180"/>
      <c r="J44" s="219"/>
      <c r="M44" s="224"/>
      <c r="N44" s="220"/>
    </row>
    <row r="45" spans="1:10" ht="12.75" customHeight="1">
      <c r="A45" s="56" t="s">
        <v>13</v>
      </c>
      <c r="B45" s="121">
        <f t="shared" si="2"/>
        <v>1.826938</v>
      </c>
      <c r="C45" s="122">
        <v>1.826938</v>
      </c>
      <c r="D45" s="130"/>
      <c r="E45" s="130"/>
      <c r="F45" s="136"/>
      <c r="H45" s="212"/>
      <c r="I45" s="180"/>
      <c r="J45" s="220"/>
    </row>
    <row r="46" spans="1:10" ht="12.75" customHeight="1" thickBot="1">
      <c r="A46" s="60" t="s">
        <v>14</v>
      </c>
      <c r="B46" s="137">
        <f t="shared" si="2"/>
        <v>3.283</v>
      </c>
      <c r="C46" s="138">
        <v>3.283</v>
      </c>
      <c r="D46" s="139"/>
      <c r="E46" s="139"/>
      <c r="F46" s="140"/>
      <c r="H46" s="212"/>
      <c r="I46" s="180"/>
      <c r="J46" s="220"/>
    </row>
    <row r="47" spans="1:10" ht="12.75" customHeight="1" thickBot="1">
      <c r="A47" s="72" t="s">
        <v>42</v>
      </c>
      <c r="B47" s="141">
        <f t="shared" si="2"/>
        <v>2.369031</v>
      </c>
      <c r="C47" s="142">
        <f>C48+C56+C57</f>
        <v>2.369031</v>
      </c>
      <c r="D47" s="142">
        <f>D48+D56+D57</f>
        <v>0</v>
      </c>
      <c r="E47" s="142">
        <f>E48+E56+E57</f>
        <v>0</v>
      </c>
      <c r="F47" s="143">
        <f>F48+F56+F57</f>
        <v>0</v>
      </c>
      <c r="H47" s="212"/>
      <c r="I47" s="180"/>
      <c r="J47" s="219"/>
    </row>
    <row r="48" spans="1:11" ht="12.75" customHeight="1">
      <c r="A48" s="55" t="s">
        <v>10</v>
      </c>
      <c r="B48" s="159">
        <f t="shared" si="2"/>
        <v>0</v>
      </c>
      <c r="C48" s="160">
        <f>C49+C50+C51+C52+C53+C54+C55</f>
        <v>0</v>
      </c>
      <c r="D48" s="160">
        <f>D49+D50+D51+D52+D53+D54+D55</f>
        <v>0</v>
      </c>
      <c r="E48" s="160">
        <f>E49+E50+E51+E52+E53+E54+E55</f>
        <v>0</v>
      </c>
      <c r="F48" s="166">
        <f>F49+F50+F51+F52+F53+F54+F55</f>
        <v>0</v>
      </c>
      <c r="H48" s="180"/>
      <c r="I48" s="180"/>
      <c r="J48" s="220"/>
      <c r="K48" s="224"/>
    </row>
    <row r="49" spans="1:11" ht="12.75" customHeight="1">
      <c r="A49" s="56" t="s">
        <v>4</v>
      </c>
      <c r="B49" s="148">
        <f t="shared" si="2"/>
        <v>0</v>
      </c>
      <c r="C49" s="149"/>
      <c r="D49" s="150"/>
      <c r="E49" s="150"/>
      <c r="F49" s="151"/>
      <c r="H49" s="180"/>
      <c r="I49" s="180"/>
      <c r="J49" s="220"/>
      <c r="K49" s="224"/>
    </row>
    <row r="50" spans="1:11" ht="12.75" customHeight="1">
      <c r="A50" s="56" t="s">
        <v>17</v>
      </c>
      <c r="B50" s="148">
        <f t="shared" si="2"/>
        <v>0</v>
      </c>
      <c r="C50" s="149"/>
      <c r="D50" s="150"/>
      <c r="E50" s="150"/>
      <c r="F50" s="151"/>
      <c r="H50" s="180"/>
      <c r="J50" s="180"/>
      <c r="K50" s="224"/>
    </row>
    <row r="51" spans="1:11" ht="12.75" customHeight="1">
      <c r="A51" s="56" t="s">
        <v>5</v>
      </c>
      <c r="B51" s="148">
        <f t="shared" si="2"/>
        <v>0</v>
      </c>
      <c r="C51" s="149"/>
      <c r="D51" s="150"/>
      <c r="E51" s="150"/>
      <c r="F51" s="151"/>
      <c r="H51" s="180"/>
      <c r="J51" s="180"/>
      <c r="K51" s="224"/>
    </row>
    <row r="52" spans="1:11" ht="12.75" customHeight="1">
      <c r="A52" s="56" t="s">
        <v>23</v>
      </c>
      <c r="B52" s="148">
        <f>SUM(C52:F52)</f>
        <v>0</v>
      </c>
      <c r="C52" s="149"/>
      <c r="D52" s="149"/>
      <c r="E52" s="149"/>
      <c r="F52" s="152"/>
      <c r="H52" s="180"/>
      <c r="J52" s="180"/>
      <c r="K52" s="224"/>
    </row>
    <row r="53" spans="1:11" ht="12.75" customHeight="1">
      <c r="A53" s="56" t="s">
        <v>24</v>
      </c>
      <c r="B53" s="148">
        <f>SUM(C53:F53)</f>
        <v>0</v>
      </c>
      <c r="C53" s="149"/>
      <c r="D53" s="149"/>
      <c r="E53" s="149"/>
      <c r="F53" s="152"/>
      <c r="H53" s="180"/>
      <c r="J53" s="180"/>
      <c r="K53" s="224"/>
    </row>
    <row r="54" spans="1:11" ht="12.75" customHeight="1">
      <c r="A54" s="56" t="s">
        <v>25</v>
      </c>
      <c r="B54" s="148">
        <f>SUM(C54:F54)</f>
        <v>0</v>
      </c>
      <c r="C54" s="149"/>
      <c r="D54" s="149"/>
      <c r="E54" s="149"/>
      <c r="F54" s="152"/>
      <c r="H54" s="180"/>
      <c r="J54" s="180"/>
      <c r="K54" s="224"/>
    </row>
    <row r="55" spans="1:11" ht="12.75" customHeight="1">
      <c r="A55" s="56" t="s">
        <v>26</v>
      </c>
      <c r="B55" s="148">
        <f>SUM(C55:F55)</f>
        <v>0</v>
      </c>
      <c r="C55" s="149"/>
      <c r="D55" s="149"/>
      <c r="E55" s="149"/>
      <c r="F55" s="152"/>
      <c r="H55" s="180"/>
      <c r="J55" s="180"/>
      <c r="K55" s="224"/>
    </row>
    <row r="56" spans="1:11" ht="12.75" customHeight="1">
      <c r="A56" s="55" t="s">
        <v>0</v>
      </c>
      <c r="B56" s="144">
        <f aca="true" t="shared" si="3" ref="B56:B64">SUM(C56:F56)</f>
        <v>0</v>
      </c>
      <c r="C56" s="145"/>
      <c r="D56" s="146"/>
      <c r="E56" s="153"/>
      <c r="F56" s="154"/>
      <c r="H56" s="180"/>
      <c r="J56" s="180"/>
      <c r="K56" s="224"/>
    </row>
    <row r="57" spans="1:11" ht="12.75" customHeight="1">
      <c r="A57" s="55" t="s">
        <v>12</v>
      </c>
      <c r="B57" s="144">
        <f t="shared" si="3"/>
        <v>2.369031</v>
      </c>
      <c r="C57" s="145">
        <f>C58</f>
        <v>2.369031</v>
      </c>
      <c r="D57" s="146">
        <f>D58</f>
        <v>0</v>
      </c>
      <c r="E57" s="146">
        <f>E58</f>
        <v>0</v>
      </c>
      <c r="F57" s="147">
        <f>F58</f>
        <v>0</v>
      </c>
      <c r="H57" s="180"/>
      <c r="J57" s="180"/>
      <c r="K57" s="224"/>
    </row>
    <row r="58" spans="1:11" ht="12.75" customHeight="1">
      <c r="A58" s="56" t="s">
        <v>13</v>
      </c>
      <c r="B58" s="148">
        <f t="shared" si="3"/>
        <v>2.369031</v>
      </c>
      <c r="C58" s="149">
        <v>2.369031</v>
      </c>
      <c r="D58" s="150"/>
      <c r="E58" s="150"/>
      <c r="F58" s="151"/>
      <c r="H58" s="180"/>
      <c r="J58" s="180"/>
      <c r="K58" s="224"/>
    </row>
    <row r="59" spans="1:11" ht="12.75" customHeight="1" thickBot="1">
      <c r="A59" s="73" t="s">
        <v>14</v>
      </c>
      <c r="B59" s="155">
        <f t="shared" si="3"/>
        <v>5.316</v>
      </c>
      <c r="C59" s="156">
        <v>5.316</v>
      </c>
      <c r="D59" s="157"/>
      <c r="E59" s="157"/>
      <c r="F59" s="158"/>
      <c r="H59" s="180"/>
      <c r="J59" s="180"/>
      <c r="K59" s="224"/>
    </row>
    <row r="60" spans="1:11" ht="12.75" customHeight="1" thickBot="1">
      <c r="A60" s="72" t="s">
        <v>27</v>
      </c>
      <c r="B60" s="141">
        <f t="shared" si="3"/>
        <v>12.264289</v>
      </c>
      <c r="C60" s="142">
        <f>C61+C69+C70</f>
        <v>6.899368</v>
      </c>
      <c r="D60" s="142">
        <f>D61+D69+D70</f>
        <v>0.169523</v>
      </c>
      <c r="E60" s="142">
        <f>E61+E69+E70</f>
        <v>2.01167</v>
      </c>
      <c r="F60" s="143">
        <f>F61+F69+F70</f>
        <v>3.183728000000001</v>
      </c>
      <c r="H60" s="180"/>
      <c r="I60" s="180"/>
      <c r="J60" s="219"/>
      <c r="K60" s="224"/>
    </row>
    <row r="61" spans="1:11" ht="12.75" customHeight="1">
      <c r="A61" s="78" t="s">
        <v>10</v>
      </c>
      <c r="B61" s="159">
        <f t="shared" si="3"/>
        <v>2.5709810000000006</v>
      </c>
      <c r="C61" s="160">
        <f>C62+C63+C64+C65+C66+C67+C68</f>
        <v>0</v>
      </c>
      <c r="D61" s="160">
        <f>D62+D63+D64+D65+D66+D67+D68</f>
        <v>0</v>
      </c>
      <c r="E61" s="160">
        <f>E62+E63+E64+E65+E66+E67+E68</f>
        <v>0.14148000000000002</v>
      </c>
      <c r="F61" s="166">
        <f>F62+F63+F64+F65+F66+F67+F68</f>
        <v>2.4295010000000006</v>
      </c>
      <c r="H61" s="180"/>
      <c r="I61" s="205"/>
      <c r="J61" s="220"/>
      <c r="K61" s="224"/>
    </row>
    <row r="62" spans="1:11" ht="12.75" customHeight="1">
      <c r="A62" s="79" t="s">
        <v>4</v>
      </c>
      <c r="B62" s="148">
        <f t="shared" si="3"/>
        <v>2.41317</v>
      </c>
      <c r="C62" s="149"/>
      <c r="D62" s="149"/>
      <c r="E62" s="149">
        <v>0.129701</v>
      </c>
      <c r="F62" s="152">
        <v>2.283469</v>
      </c>
      <c r="H62" s="180"/>
      <c r="I62" s="180"/>
      <c r="J62" s="220"/>
      <c r="K62" s="224"/>
    </row>
    <row r="63" spans="1:11" ht="12.75" customHeight="1">
      <c r="A63" s="79" t="s">
        <v>17</v>
      </c>
      <c r="B63" s="148">
        <f t="shared" si="3"/>
        <v>0.079896</v>
      </c>
      <c r="C63" s="149"/>
      <c r="D63" s="150"/>
      <c r="E63" s="150"/>
      <c r="F63" s="151">
        <v>0.079896</v>
      </c>
      <c r="H63" s="180"/>
      <c r="I63" s="180"/>
      <c r="J63" s="220"/>
      <c r="K63" s="224"/>
    </row>
    <row r="64" spans="1:11" ht="12.75" customHeight="1">
      <c r="A64" s="79" t="s">
        <v>5</v>
      </c>
      <c r="B64" s="148">
        <f t="shared" si="3"/>
        <v>0.077915</v>
      </c>
      <c r="C64" s="149"/>
      <c r="D64" s="150"/>
      <c r="E64" s="150">
        <v>0.011779</v>
      </c>
      <c r="F64" s="151">
        <v>0.066136</v>
      </c>
      <c r="H64" s="180"/>
      <c r="I64" s="180"/>
      <c r="J64" s="220"/>
      <c r="K64" s="224"/>
    </row>
    <row r="65" spans="1:11" ht="12.75" customHeight="1">
      <c r="A65" s="79" t="s">
        <v>23</v>
      </c>
      <c r="B65" s="148">
        <f>SUM(C65:F65)</f>
        <v>0</v>
      </c>
      <c r="C65" s="149"/>
      <c r="D65" s="149"/>
      <c r="E65" s="149"/>
      <c r="F65" s="152"/>
      <c r="H65" s="180"/>
      <c r="I65" s="180"/>
      <c r="J65" s="220"/>
      <c r="K65" s="224"/>
    </row>
    <row r="66" spans="1:10" ht="12.75" customHeight="1">
      <c r="A66" s="79" t="s">
        <v>24</v>
      </c>
      <c r="B66" s="148">
        <f>SUM(C66:F66)</f>
        <v>0</v>
      </c>
      <c r="C66" s="149"/>
      <c r="D66" s="149"/>
      <c r="E66" s="149"/>
      <c r="F66" s="152"/>
      <c r="H66" s="180"/>
      <c r="I66" s="180"/>
      <c r="J66" s="220"/>
    </row>
    <row r="67" spans="1:10" ht="12.75" customHeight="1">
      <c r="A67" s="79" t="s">
        <v>25</v>
      </c>
      <c r="B67" s="148">
        <f>SUM(C67:F67)</f>
        <v>0</v>
      </c>
      <c r="C67" s="149"/>
      <c r="D67" s="149"/>
      <c r="E67" s="149"/>
      <c r="F67" s="152"/>
      <c r="H67" s="180"/>
      <c r="I67" s="180"/>
      <c r="J67" s="220"/>
    </row>
    <row r="68" spans="1:10" ht="12.75" customHeight="1">
      <c r="A68" s="79" t="s">
        <v>26</v>
      </c>
      <c r="B68" s="148">
        <f>SUM(C68:F68)</f>
        <v>0</v>
      </c>
      <c r="C68" s="149"/>
      <c r="D68" s="149"/>
      <c r="E68" s="149"/>
      <c r="F68" s="152"/>
      <c r="H68" s="180"/>
      <c r="I68" s="180"/>
      <c r="J68" s="220"/>
    </row>
    <row r="69" spans="1:10" ht="12.75" customHeight="1">
      <c r="A69" s="78" t="s">
        <v>0</v>
      </c>
      <c r="B69" s="144">
        <f>SUM(C69:F69)</f>
        <v>5.967344</v>
      </c>
      <c r="C69" s="145">
        <v>3.470287</v>
      </c>
      <c r="D69" s="146">
        <v>0.169523</v>
      </c>
      <c r="E69" s="153">
        <v>1.618302</v>
      </c>
      <c r="F69" s="154">
        <v>0.709232</v>
      </c>
      <c r="H69" s="180"/>
      <c r="I69" s="209"/>
      <c r="J69" s="220"/>
    </row>
    <row r="70" spans="1:10" ht="12.75" customHeight="1">
      <c r="A70" s="78" t="s">
        <v>34</v>
      </c>
      <c r="B70" s="144">
        <f>SUM(C70:F70)</f>
        <v>3.7259640000000003</v>
      </c>
      <c r="C70" s="145">
        <f>C71</f>
        <v>3.429081</v>
      </c>
      <c r="D70" s="146">
        <f>D71</f>
        <v>0</v>
      </c>
      <c r="E70" s="146">
        <f>E71</f>
        <v>0.251888</v>
      </c>
      <c r="F70" s="147">
        <f>F71</f>
        <v>0.044995</v>
      </c>
      <c r="H70" s="180"/>
      <c r="I70" s="209"/>
      <c r="J70" s="220"/>
    </row>
    <row r="71" spans="1:10" ht="12.75" customHeight="1">
      <c r="A71" s="79" t="s">
        <v>13</v>
      </c>
      <c r="B71" s="148">
        <f>SUM(C71:F71)</f>
        <v>3.7259640000000003</v>
      </c>
      <c r="C71" s="145">
        <v>3.429081</v>
      </c>
      <c r="D71" s="146"/>
      <c r="E71" s="153">
        <v>0.251888</v>
      </c>
      <c r="F71" s="154">
        <v>0.044995</v>
      </c>
      <c r="H71" s="180"/>
      <c r="I71" s="209"/>
      <c r="J71" s="220"/>
    </row>
    <row r="72" spans="1:10" ht="12.75" customHeight="1" thickBot="1">
      <c r="A72" s="80" t="s">
        <v>14</v>
      </c>
      <c r="B72" s="155">
        <f>SUM(C72:F72)</f>
        <v>4.704</v>
      </c>
      <c r="C72" s="156">
        <v>4.171</v>
      </c>
      <c r="D72" s="157"/>
      <c r="E72" s="157">
        <v>0.459</v>
      </c>
      <c r="F72" s="158">
        <v>0.074</v>
      </c>
      <c r="H72" s="180"/>
      <c r="I72" s="209"/>
      <c r="J72" s="220"/>
    </row>
    <row r="73" spans="1:10" ht="12.75" customHeight="1" thickBot="1">
      <c r="A73" s="72" t="s">
        <v>33</v>
      </c>
      <c r="B73" s="141">
        <f>SUM(C73:F73)</f>
        <v>0</v>
      </c>
      <c r="C73" s="142">
        <f>C74+C82+C83</f>
        <v>0</v>
      </c>
      <c r="D73" s="142">
        <f>D74+D82+D83</f>
        <v>0</v>
      </c>
      <c r="E73" s="142">
        <f>E74+E82+E83</f>
        <v>0</v>
      </c>
      <c r="F73" s="143">
        <f>F74+F82+F83</f>
        <v>0</v>
      </c>
      <c r="I73" s="209"/>
      <c r="J73" s="180"/>
    </row>
    <row r="74" spans="1:9" ht="12.75" customHeight="1">
      <c r="A74" s="78" t="s">
        <v>10</v>
      </c>
      <c r="B74" s="159">
        <f aca="true" t="shared" si="4" ref="B74:B85">SUM(C74:F74)</f>
        <v>0</v>
      </c>
      <c r="C74" s="160">
        <f>C75+C76+C77+C78+C79+C80+C81</f>
        <v>0</v>
      </c>
      <c r="D74" s="160">
        <f>D75+D76+D77+D78+D79+D80+D81</f>
        <v>0</v>
      </c>
      <c r="E74" s="160">
        <f>E75+E76+E77+E78+E79+E80+E81</f>
        <v>0</v>
      </c>
      <c r="F74" s="166">
        <f>F75+F76+F77+F78+F79+F80+F81</f>
        <v>0</v>
      </c>
      <c r="I74" s="209"/>
    </row>
    <row r="75" spans="1:9" ht="12.75" customHeight="1">
      <c r="A75" s="79" t="s">
        <v>4</v>
      </c>
      <c r="B75" s="148">
        <f t="shared" si="4"/>
        <v>0</v>
      </c>
      <c r="C75" s="149"/>
      <c r="D75" s="150"/>
      <c r="E75" s="150"/>
      <c r="F75" s="151"/>
      <c r="I75" s="209"/>
    </row>
    <row r="76" spans="1:9" ht="12.75" customHeight="1">
      <c r="A76" s="79" t="s">
        <v>17</v>
      </c>
      <c r="B76" s="148">
        <f t="shared" si="4"/>
        <v>0</v>
      </c>
      <c r="C76" s="149"/>
      <c r="D76" s="150"/>
      <c r="E76" s="150"/>
      <c r="F76" s="151"/>
      <c r="I76" s="209"/>
    </row>
    <row r="77" spans="1:9" ht="12.75" customHeight="1">
      <c r="A77" s="79" t="s">
        <v>5</v>
      </c>
      <c r="B77" s="148">
        <f t="shared" si="4"/>
        <v>0</v>
      </c>
      <c r="C77" s="149"/>
      <c r="D77" s="150"/>
      <c r="E77" s="150"/>
      <c r="F77" s="151"/>
      <c r="I77" s="209"/>
    </row>
    <row r="78" spans="1:9" ht="12.75" customHeight="1">
      <c r="A78" s="79" t="s">
        <v>23</v>
      </c>
      <c r="B78" s="148">
        <f t="shared" si="4"/>
        <v>0</v>
      </c>
      <c r="C78" s="149"/>
      <c r="D78" s="149"/>
      <c r="E78" s="149"/>
      <c r="F78" s="152"/>
      <c r="I78" s="209"/>
    </row>
    <row r="79" spans="1:9" ht="12.75" customHeight="1">
      <c r="A79" s="79" t="s">
        <v>24</v>
      </c>
      <c r="B79" s="148">
        <f t="shared" si="4"/>
        <v>0</v>
      </c>
      <c r="C79" s="149"/>
      <c r="D79" s="149"/>
      <c r="E79" s="149"/>
      <c r="F79" s="152"/>
      <c r="I79" s="209"/>
    </row>
    <row r="80" spans="1:9" ht="12.75" customHeight="1">
      <c r="A80" s="79" t="s">
        <v>25</v>
      </c>
      <c r="B80" s="148">
        <f t="shared" si="4"/>
        <v>0</v>
      </c>
      <c r="C80" s="149"/>
      <c r="D80" s="149"/>
      <c r="E80" s="149"/>
      <c r="F80" s="152"/>
      <c r="I80" s="209"/>
    </row>
    <row r="81" spans="1:9" ht="12.75" customHeight="1">
      <c r="A81" s="79" t="s">
        <v>26</v>
      </c>
      <c r="B81" s="148">
        <f t="shared" si="4"/>
        <v>0</v>
      </c>
      <c r="C81" s="149"/>
      <c r="D81" s="149"/>
      <c r="E81" s="149"/>
      <c r="F81" s="152"/>
      <c r="I81" s="209"/>
    </row>
    <row r="82" spans="1:9" ht="12.75" customHeight="1">
      <c r="A82" s="78" t="s">
        <v>0</v>
      </c>
      <c r="B82" s="144">
        <f t="shared" si="4"/>
        <v>0</v>
      </c>
      <c r="C82" s="145"/>
      <c r="D82" s="146"/>
      <c r="E82" s="153"/>
      <c r="F82" s="154"/>
      <c r="I82" s="209"/>
    </row>
    <row r="83" spans="1:9" ht="12.75" customHeight="1">
      <c r="A83" s="78" t="s">
        <v>12</v>
      </c>
      <c r="B83" s="144">
        <f t="shared" si="4"/>
        <v>0</v>
      </c>
      <c r="C83" s="145">
        <f>C84</f>
        <v>0</v>
      </c>
      <c r="D83" s="146">
        <f>D84</f>
        <v>0</v>
      </c>
      <c r="E83" s="146">
        <f>E84</f>
        <v>0</v>
      </c>
      <c r="F83" s="147">
        <f>F84</f>
        <v>0</v>
      </c>
      <c r="I83" s="209"/>
    </row>
    <row r="84" spans="1:9" ht="12.75" customHeight="1">
      <c r="A84" s="79" t="s">
        <v>13</v>
      </c>
      <c r="B84" s="148">
        <f t="shared" si="4"/>
        <v>0</v>
      </c>
      <c r="C84" s="149"/>
      <c r="D84" s="150"/>
      <c r="E84" s="150"/>
      <c r="F84" s="151"/>
      <c r="I84" s="209"/>
    </row>
    <row r="85" spans="1:6" ht="12.75" customHeight="1" thickBot="1">
      <c r="A85" s="80" t="s">
        <v>14</v>
      </c>
      <c r="B85" s="155">
        <f t="shared" si="4"/>
        <v>0</v>
      </c>
      <c r="C85" s="156"/>
      <c r="D85" s="157"/>
      <c r="E85" s="157"/>
      <c r="F85" s="158"/>
    </row>
    <row r="86" spans="1:6" ht="12.75" customHeight="1" thickBot="1">
      <c r="A86" s="72" t="s">
        <v>35</v>
      </c>
      <c r="B86" s="141">
        <f>SUM(C86:F86)</f>
        <v>3.1149799999999996</v>
      </c>
      <c r="C86" s="142">
        <f>C87+C95+C96</f>
        <v>3.093898</v>
      </c>
      <c r="D86" s="142">
        <f>D87+D95+D96</f>
        <v>0</v>
      </c>
      <c r="E86" s="142">
        <f>E87+E95+E96</f>
        <v>0</v>
      </c>
      <c r="F86" s="143">
        <f>F87+F95+F96</f>
        <v>0.021082</v>
      </c>
    </row>
    <row r="87" spans="1:6" ht="12.75" customHeight="1">
      <c r="A87" s="78" t="s">
        <v>10</v>
      </c>
      <c r="B87" s="159">
        <f aca="true" t="shared" si="5" ref="B87:B142">SUM(C87:F87)</f>
        <v>0</v>
      </c>
      <c r="C87" s="160">
        <f>C88+C89+C90+C91+C92+C93+C94</f>
        <v>0</v>
      </c>
      <c r="D87" s="160">
        <f>D88+D89+D90+D91+D92+D93+D94</f>
        <v>0</v>
      </c>
      <c r="E87" s="160">
        <f>E88+E89+E90+E91+E92+E93+E94</f>
        <v>0</v>
      </c>
      <c r="F87" s="166">
        <f>F88+F89+F90+F91+F92+F93+F94</f>
        <v>0</v>
      </c>
    </row>
    <row r="88" spans="1:6" ht="12.75" customHeight="1">
      <c r="A88" s="79" t="s">
        <v>4</v>
      </c>
      <c r="B88" s="148">
        <f t="shared" si="5"/>
        <v>0</v>
      </c>
      <c r="C88" s="149"/>
      <c r="D88" s="150"/>
      <c r="E88" s="150"/>
      <c r="F88" s="151"/>
    </row>
    <row r="89" spans="1:6" ht="12.75" customHeight="1">
      <c r="A89" s="79" t="s">
        <v>17</v>
      </c>
      <c r="B89" s="148">
        <f t="shared" si="5"/>
        <v>0</v>
      </c>
      <c r="C89" s="149"/>
      <c r="D89" s="150"/>
      <c r="E89" s="150"/>
      <c r="F89" s="151"/>
    </row>
    <row r="90" spans="1:6" ht="12.75" customHeight="1">
      <c r="A90" s="79" t="s">
        <v>5</v>
      </c>
      <c r="B90" s="148">
        <f t="shared" si="5"/>
        <v>0</v>
      </c>
      <c r="C90" s="149"/>
      <c r="D90" s="150"/>
      <c r="E90" s="150"/>
      <c r="F90" s="151"/>
    </row>
    <row r="91" spans="1:6" ht="12.75" customHeight="1">
      <c r="A91" s="79" t="s">
        <v>23</v>
      </c>
      <c r="B91" s="148">
        <f t="shared" si="5"/>
        <v>0</v>
      </c>
      <c r="C91" s="149"/>
      <c r="D91" s="149"/>
      <c r="E91" s="149"/>
      <c r="F91" s="152"/>
    </row>
    <row r="92" spans="1:6" ht="12.75" customHeight="1">
      <c r="A92" s="79" t="s">
        <v>24</v>
      </c>
      <c r="B92" s="148">
        <f t="shared" si="5"/>
        <v>0</v>
      </c>
      <c r="C92" s="149"/>
      <c r="D92" s="149"/>
      <c r="E92" s="149"/>
      <c r="F92" s="152"/>
    </row>
    <row r="93" spans="1:6" ht="12.75" customHeight="1">
      <c r="A93" s="79" t="s">
        <v>25</v>
      </c>
      <c r="B93" s="148">
        <f t="shared" si="5"/>
        <v>0</v>
      </c>
      <c r="C93" s="149"/>
      <c r="D93" s="149"/>
      <c r="E93" s="149"/>
      <c r="F93" s="152"/>
    </row>
    <row r="94" spans="1:6" ht="12.75">
      <c r="A94" s="79" t="s">
        <v>26</v>
      </c>
      <c r="B94" s="148">
        <f t="shared" si="5"/>
        <v>0</v>
      </c>
      <c r="C94" s="149"/>
      <c r="D94" s="149"/>
      <c r="E94" s="149"/>
      <c r="F94" s="152"/>
    </row>
    <row r="95" spans="1:6" ht="13.5">
      <c r="A95" s="78" t="s">
        <v>0</v>
      </c>
      <c r="B95" s="144">
        <f t="shared" si="5"/>
        <v>1.157449</v>
      </c>
      <c r="C95" s="145">
        <f>3.093898-C96</f>
        <v>1.136367</v>
      </c>
      <c r="D95" s="146"/>
      <c r="E95" s="153"/>
      <c r="F95" s="154">
        <v>0.021082</v>
      </c>
    </row>
    <row r="96" spans="1:6" ht="13.5">
      <c r="A96" s="78" t="s">
        <v>12</v>
      </c>
      <c r="B96" s="144">
        <f t="shared" si="5"/>
        <v>1.957531</v>
      </c>
      <c r="C96" s="145">
        <f>C97</f>
        <v>1.957531</v>
      </c>
      <c r="D96" s="146">
        <f>D97</f>
        <v>0</v>
      </c>
      <c r="E96" s="146">
        <f>E97</f>
        <v>0</v>
      </c>
      <c r="F96" s="147">
        <f>F97</f>
        <v>0</v>
      </c>
    </row>
    <row r="97" spans="1:6" ht="12.75">
      <c r="A97" s="79" t="s">
        <v>13</v>
      </c>
      <c r="B97" s="148">
        <f t="shared" si="5"/>
        <v>1.957531</v>
      </c>
      <c r="C97" s="149">
        <v>1.957531</v>
      </c>
      <c r="D97" s="150"/>
      <c r="E97" s="150"/>
      <c r="F97" s="151"/>
    </row>
    <row r="98" spans="1:6" ht="13.5" thickBot="1">
      <c r="A98" s="80" t="s">
        <v>14</v>
      </c>
      <c r="B98" s="155">
        <f t="shared" si="5"/>
        <v>1.54</v>
      </c>
      <c r="C98" s="156">
        <v>1.54</v>
      </c>
      <c r="D98" s="157"/>
      <c r="E98" s="157"/>
      <c r="F98" s="158"/>
    </row>
    <row r="99" spans="1:6" ht="13.5" thickBot="1">
      <c r="A99" s="72" t="s">
        <v>18</v>
      </c>
      <c r="B99" s="141">
        <f t="shared" si="5"/>
        <v>4.321477</v>
      </c>
      <c r="C99" s="142">
        <f>C100+C108+C109</f>
        <v>0.388274</v>
      </c>
      <c r="D99" s="142">
        <f>D100+D108+D109</f>
        <v>0</v>
      </c>
      <c r="E99" s="142">
        <f>E100+E108+E109</f>
        <v>1.3599199999999998</v>
      </c>
      <c r="F99" s="143">
        <f>F100+F108+F109</f>
        <v>2.573283</v>
      </c>
    </row>
    <row r="100" spans="1:6" ht="13.5">
      <c r="A100" s="78" t="s">
        <v>10</v>
      </c>
      <c r="B100" s="159">
        <f t="shared" si="5"/>
        <v>1.864001</v>
      </c>
      <c r="C100" s="160">
        <f>C101+C102+C103+C104+C105+C106+C107</f>
        <v>0.049298</v>
      </c>
      <c r="D100" s="160">
        <f>D101+D102+D103+D104+D105+D106+D107</f>
        <v>0</v>
      </c>
      <c r="E100" s="160">
        <f>E101+E102+E103+E104+E105+E106+E107</f>
        <v>0.104345</v>
      </c>
      <c r="F100" s="166">
        <f>F101+F102+F103+F104+F105+F106+F107</f>
        <v>1.710358</v>
      </c>
    </row>
    <row r="101" spans="1:11" ht="12.75">
      <c r="A101" s="79" t="s">
        <v>4</v>
      </c>
      <c r="B101" s="148">
        <f t="shared" si="5"/>
        <v>1.215703</v>
      </c>
      <c r="C101" s="149"/>
      <c r="D101" s="150"/>
      <c r="E101" s="150">
        <v>0.007775</v>
      </c>
      <c r="F101" s="151">
        <v>1.207928</v>
      </c>
      <c r="I101" s="213"/>
      <c r="J101" s="180"/>
      <c r="K101" s="224"/>
    </row>
    <row r="102" spans="1:11" ht="12.75">
      <c r="A102" s="79" t="s">
        <v>17</v>
      </c>
      <c r="B102" s="148">
        <f t="shared" si="5"/>
        <v>0</v>
      </c>
      <c r="C102" s="149"/>
      <c r="D102" s="150"/>
      <c r="E102" s="150"/>
      <c r="F102" s="151"/>
      <c r="I102" s="212"/>
      <c r="J102" s="180"/>
      <c r="K102" s="224"/>
    </row>
    <row r="103" spans="1:11" ht="12.75">
      <c r="A103" s="79" t="s">
        <v>5</v>
      </c>
      <c r="B103" s="148">
        <f t="shared" si="5"/>
        <v>0.500788</v>
      </c>
      <c r="C103" s="149"/>
      <c r="D103" s="150"/>
      <c r="E103" s="150">
        <v>0.005323</v>
      </c>
      <c r="F103" s="151">
        <v>0.495465</v>
      </c>
      <c r="I103" s="212"/>
      <c r="J103" s="180"/>
      <c r="K103" s="224"/>
    </row>
    <row r="104" spans="1:11" ht="12.75">
      <c r="A104" s="79" t="s">
        <v>23</v>
      </c>
      <c r="B104" s="148">
        <f t="shared" si="5"/>
        <v>0</v>
      </c>
      <c r="C104" s="149"/>
      <c r="D104" s="149"/>
      <c r="E104" s="149"/>
      <c r="F104" s="152"/>
      <c r="I104" s="212"/>
      <c r="J104" s="180"/>
      <c r="K104" s="224"/>
    </row>
    <row r="105" spans="1:11" ht="12.75">
      <c r="A105" s="79" t="s">
        <v>24</v>
      </c>
      <c r="B105" s="148">
        <f t="shared" si="5"/>
        <v>0.006965</v>
      </c>
      <c r="C105" s="149"/>
      <c r="D105" s="149"/>
      <c r="E105" s="149"/>
      <c r="F105" s="152">
        <v>0.006965</v>
      </c>
      <c r="I105" s="212"/>
      <c r="J105" s="180"/>
      <c r="K105" s="224"/>
    </row>
    <row r="106" spans="1:11" ht="12.75">
      <c r="A106" s="79" t="s">
        <v>25</v>
      </c>
      <c r="B106" s="148">
        <f t="shared" si="5"/>
        <v>0.140545</v>
      </c>
      <c r="C106" s="149">
        <v>0.049298</v>
      </c>
      <c r="D106" s="149"/>
      <c r="E106" s="149">
        <v>0.091247</v>
      </c>
      <c r="F106" s="152"/>
      <c r="J106" s="180"/>
      <c r="K106" s="224"/>
    </row>
    <row r="107" spans="1:11" ht="12.75">
      <c r="A107" s="79" t="s">
        <v>26</v>
      </c>
      <c r="B107" s="148">
        <f t="shared" si="5"/>
        <v>0</v>
      </c>
      <c r="C107" s="149"/>
      <c r="D107" s="149"/>
      <c r="E107" s="149"/>
      <c r="F107" s="152"/>
      <c r="J107" s="180"/>
      <c r="K107" s="224"/>
    </row>
    <row r="108" spans="1:11" ht="13.5">
      <c r="A108" s="78" t="s">
        <v>0</v>
      </c>
      <c r="B108" s="144">
        <f t="shared" si="5"/>
        <v>2.326964</v>
      </c>
      <c r="C108" s="145">
        <v>0.338976</v>
      </c>
      <c r="D108" s="146"/>
      <c r="E108" s="153">
        <v>1.212975</v>
      </c>
      <c r="F108" s="154">
        <v>0.775013</v>
      </c>
      <c r="J108" s="180"/>
      <c r="K108" s="224"/>
    </row>
    <row r="109" spans="1:10" ht="13.5">
      <c r="A109" s="78" t="s">
        <v>12</v>
      </c>
      <c r="B109" s="144">
        <f t="shared" si="5"/>
        <v>0.13051200000000002</v>
      </c>
      <c r="C109" s="145">
        <f>C110</f>
        <v>0</v>
      </c>
      <c r="D109" s="146">
        <f>D110</f>
        <v>0</v>
      </c>
      <c r="E109" s="146">
        <f>E110</f>
        <v>0.0426</v>
      </c>
      <c r="F109" s="147">
        <f>F110</f>
        <v>0.087912</v>
      </c>
      <c r="J109" s="180"/>
    </row>
    <row r="110" spans="1:10" ht="12.75">
      <c r="A110" s="79" t="s">
        <v>13</v>
      </c>
      <c r="B110" s="148">
        <f t="shared" si="5"/>
        <v>0.13051200000000002</v>
      </c>
      <c r="C110" s="149"/>
      <c r="D110" s="150"/>
      <c r="E110" s="150">
        <v>0.0426</v>
      </c>
      <c r="F110" s="151">
        <v>0.087912</v>
      </c>
      <c r="J110" s="180"/>
    </row>
    <row r="111" spans="1:10" ht="13.5" thickBot="1">
      <c r="A111" s="80" t="s">
        <v>14</v>
      </c>
      <c r="B111" s="155">
        <f t="shared" si="5"/>
        <v>0.132</v>
      </c>
      <c r="C111" s="156"/>
      <c r="D111" s="157"/>
      <c r="E111" s="198">
        <v>0.086</v>
      </c>
      <c r="F111" s="158">
        <v>0.046</v>
      </c>
      <c r="J111" s="180"/>
    </row>
    <row r="112" spans="1:10" ht="13.5" thickBot="1">
      <c r="A112" s="72" t="s">
        <v>28</v>
      </c>
      <c r="B112" s="141">
        <f t="shared" si="5"/>
        <v>2.565177</v>
      </c>
      <c r="C112" s="142">
        <f>C113+C121+C122</f>
        <v>1.377271</v>
      </c>
      <c r="D112" s="142">
        <f>D113+D121+D122</f>
        <v>0</v>
      </c>
      <c r="E112" s="142">
        <f>E113+E121+E122</f>
        <v>0.734917</v>
      </c>
      <c r="F112" s="143">
        <f>F113+F121+F122</f>
        <v>0.45298900000000003</v>
      </c>
      <c r="J112" s="180"/>
    </row>
    <row r="113" spans="1:10" ht="13.5">
      <c r="A113" s="78" t="s">
        <v>10</v>
      </c>
      <c r="B113" s="159">
        <f t="shared" si="5"/>
        <v>0.42723300000000003</v>
      </c>
      <c r="C113" s="160">
        <f>C114+C115+C116+C117+C118+C119+C120</f>
        <v>0.0004</v>
      </c>
      <c r="D113" s="160">
        <f>D114+D115+D116+D117+D118+D119+D120</f>
        <v>0</v>
      </c>
      <c r="E113" s="160">
        <f>E114+E115+E116+E117+E118+E119+E120</f>
        <v>0</v>
      </c>
      <c r="F113" s="166">
        <f>F114+F115+F116+F117+F118+F119+F120</f>
        <v>0.426833</v>
      </c>
      <c r="J113" s="180"/>
    </row>
    <row r="114" spans="1:10" ht="12.75">
      <c r="A114" s="79" t="s">
        <v>4</v>
      </c>
      <c r="B114" s="148">
        <f t="shared" si="5"/>
        <v>0.417374</v>
      </c>
      <c r="C114" s="149"/>
      <c r="D114" s="150"/>
      <c r="E114" s="150"/>
      <c r="F114" s="151">
        <v>0.417374</v>
      </c>
      <c r="J114" s="180"/>
    </row>
    <row r="115" spans="1:10" ht="12.75">
      <c r="A115" s="79" t="s">
        <v>17</v>
      </c>
      <c r="B115" s="148">
        <f t="shared" si="5"/>
        <v>0.009459</v>
      </c>
      <c r="C115" s="149"/>
      <c r="D115" s="150"/>
      <c r="E115" s="150"/>
      <c r="F115" s="151">
        <v>0.009459</v>
      </c>
      <c r="J115" s="205"/>
    </row>
    <row r="116" spans="1:10" ht="12.75">
      <c r="A116" s="79" t="s">
        <v>5</v>
      </c>
      <c r="B116" s="148">
        <f t="shared" si="5"/>
        <v>0</v>
      </c>
      <c r="C116" s="149"/>
      <c r="D116" s="150"/>
      <c r="E116" s="150"/>
      <c r="F116" s="151"/>
      <c r="J116" s="180"/>
    </row>
    <row r="117" spans="1:10" ht="12.75">
      <c r="A117" s="79" t="s">
        <v>23</v>
      </c>
      <c r="B117" s="148">
        <f t="shared" si="5"/>
        <v>0</v>
      </c>
      <c r="C117" s="149"/>
      <c r="D117" s="149"/>
      <c r="E117" s="149"/>
      <c r="F117" s="152"/>
      <c r="J117" s="180"/>
    </row>
    <row r="118" spans="1:10" ht="12.75">
      <c r="A118" s="79" t="s">
        <v>24</v>
      </c>
      <c r="B118" s="148">
        <f t="shared" si="5"/>
        <v>0</v>
      </c>
      <c r="C118" s="149"/>
      <c r="D118" s="149"/>
      <c r="E118" s="149"/>
      <c r="F118" s="152"/>
      <c r="J118" s="180"/>
    </row>
    <row r="119" spans="1:10" ht="12.75">
      <c r="A119" s="79" t="s">
        <v>25</v>
      </c>
      <c r="B119" s="148">
        <f t="shared" si="5"/>
        <v>0</v>
      </c>
      <c r="C119" s="149"/>
      <c r="D119" s="149"/>
      <c r="E119" s="149"/>
      <c r="F119" s="152"/>
      <c r="J119" s="180"/>
    </row>
    <row r="120" spans="1:10" ht="12.75">
      <c r="A120" s="79" t="s">
        <v>26</v>
      </c>
      <c r="B120" s="148">
        <f t="shared" si="5"/>
        <v>0.0004</v>
      </c>
      <c r="C120" s="149">
        <v>0.0004</v>
      </c>
      <c r="D120" s="149"/>
      <c r="E120" s="149"/>
      <c r="F120" s="152"/>
      <c r="J120" s="180"/>
    </row>
    <row r="121" spans="1:10" ht="13.5">
      <c r="A121" s="78" t="s">
        <v>0</v>
      </c>
      <c r="B121" s="144">
        <f t="shared" si="5"/>
        <v>2.105901</v>
      </c>
      <c r="C121" s="145">
        <v>1.376871</v>
      </c>
      <c r="D121" s="146"/>
      <c r="E121" s="153">
        <v>0.709488</v>
      </c>
      <c r="F121" s="154">
        <v>0.019542</v>
      </c>
      <c r="J121" s="180"/>
    </row>
    <row r="122" spans="1:10" ht="13.5">
      <c r="A122" s="78" t="s">
        <v>12</v>
      </c>
      <c r="B122" s="144">
        <f t="shared" si="5"/>
        <v>0.032043</v>
      </c>
      <c r="C122" s="145">
        <f>C123</f>
        <v>0</v>
      </c>
      <c r="D122" s="146">
        <f>D123</f>
        <v>0</v>
      </c>
      <c r="E122" s="146">
        <f>E123</f>
        <v>0.025429</v>
      </c>
      <c r="F122" s="147">
        <f>F123</f>
        <v>0.006614</v>
      </c>
      <c r="J122" s="180"/>
    </row>
    <row r="123" spans="1:10" ht="12.75">
      <c r="A123" s="79" t="s">
        <v>13</v>
      </c>
      <c r="B123" s="148">
        <f t="shared" si="5"/>
        <v>0.032043</v>
      </c>
      <c r="C123" s="149"/>
      <c r="D123" s="150"/>
      <c r="E123" s="150">
        <v>0.025429</v>
      </c>
      <c r="F123" s="151">
        <v>0.006614</v>
      </c>
      <c r="J123" s="180"/>
    </row>
    <row r="124" spans="1:10" ht="13.5" thickBot="1">
      <c r="A124" s="80" t="s">
        <v>14</v>
      </c>
      <c r="B124" s="155">
        <f t="shared" si="5"/>
        <v>0.08</v>
      </c>
      <c r="C124" s="156"/>
      <c r="D124" s="157"/>
      <c r="E124" s="157">
        <v>0.07</v>
      </c>
      <c r="F124" s="158">
        <v>0.01</v>
      </c>
      <c r="J124" s="180"/>
    </row>
    <row r="125" spans="1:10" ht="13.5" thickBot="1">
      <c r="A125" s="72" t="s">
        <v>19</v>
      </c>
      <c r="B125" s="141">
        <f t="shared" si="5"/>
        <v>3.9885970000000004</v>
      </c>
      <c r="C125" s="142">
        <f>C126+C134+C135</f>
        <v>2.4492000000000003</v>
      </c>
      <c r="D125" s="142">
        <f>D126+D134+D135</f>
        <v>0</v>
      </c>
      <c r="E125" s="142">
        <f>E126+E134+E135</f>
        <v>0.9329729999999999</v>
      </c>
      <c r="F125" s="143">
        <f>F126+F134+F135</f>
        <v>0.606424</v>
      </c>
      <c r="J125" s="180"/>
    </row>
    <row r="126" spans="1:10" ht="13.5">
      <c r="A126" s="78" t="s">
        <v>10</v>
      </c>
      <c r="B126" s="159">
        <f t="shared" si="5"/>
        <v>0.45650499999999994</v>
      </c>
      <c r="C126" s="160">
        <f>C127+C128+C129+C130+C131+C132+C133</f>
        <v>0</v>
      </c>
      <c r="D126" s="160">
        <f>D127+D128+D129+D130+D131+D132+D133</f>
        <v>0</v>
      </c>
      <c r="E126" s="160">
        <f>E127+E128+E129+E130+E131+E132+E133</f>
        <v>0.07476899999999999</v>
      </c>
      <c r="F126" s="166">
        <f>F127+F128+F129+F130+F131+F132+F133</f>
        <v>0.38173599999999996</v>
      </c>
      <c r="J126" s="180"/>
    </row>
    <row r="127" spans="1:10" ht="12.75">
      <c r="A127" s="79" t="s">
        <v>4</v>
      </c>
      <c r="B127" s="148">
        <f t="shared" si="5"/>
        <v>0.156389</v>
      </c>
      <c r="C127" s="149"/>
      <c r="D127" s="150"/>
      <c r="E127" s="150">
        <v>0.042947</v>
      </c>
      <c r="F127" s="151">
        <v>0.113442</v>
      </c>
      <c r="J127" s="180"/>
    </row>
    <row r="128" spans="1:10" ht="12.75">
      <c r="A128" s="79" t="s">
        <v>17</v>
      </c>
      <c r="B128" s="148">
        <f t="shared" si="5"/>
        <v>0.039078</v>
      </c>
      <c r="C128" s="149"/>
      <c r="D128" s="150"/>
      <c r="E128" s="150">
        <v>0.026448</v>
      </c>
      <c r="F128" s="151">
        <v>0.01263</v>
      </c>
      <c r="J128" s="180"/>
    </row>
    <row r="129" spans="1:10" ht="12.75">
      <c r="A129" s="79" t="s">
        <v>5</v>
      </c>
      <c r="B129" s="148">
        <f t="shared" si="5"/>
        <v>0.260371</v>
      </c>
      <c r="C129" s="149"/>
      <c r="D129" s="150"/>
      <c r="E129" s="150">
        <v>0.004707</v>
      </c>
      <c r="F129" s="151">
        <v>0.255664</v>
      </c>
      <c r="J129" s="180"/>
    </row>
    <row r="130" spans="1:10" ht="12.75">
      <c r="A130" s="79" t="s">
        <v>23</v>
      </c>
      <c r="B130" s="148">
        <f t="shared" si="5"/>
        <v>0</v>
      </c>
      <c r="C130" s="149"/>
      <c r="D130" s="149"/>
      <c r="E130" s="149"/>
      <c r="F130" s="152"/>
      <c r="J130" s="180"/>
    </row>
    <row r="131" spans="1:10" ht="12.75">
      <c r="A131" s="79" t="s">
        <v>24</v>
      </c>
      <c r="B131" s="148">
        <f t="shared" si="5"/>
        <v>2.1E-05</v>
      </c>
      <c r="C131" s="149"/>
      <c r="D131" s="149"/>
      <c r="E131" s="149">
        <v>2.1E-05</v>
      </c>
      <c r="F131" s="152"/>
      <c r="J131" s="180"/>
    </row>
    <row r="132" spans="1:10" ht="12.75">
      <c r="A132" s="79" t="s">
        <v>25</v>
      </c>
      <c r="B132" s="148">
        <f t="shared" si="5"/>
        <v>0</v>
      </c>
      <c r="C132" s="149"/>
      <c r="D132" s="149"/>
      <c r="E132" s="149"/>
      <c r="F132" s="152"/>
      <c r="J132" s="180"/>
    </row>
    <row r="133" spans="1:10" ht="12.75">
      <c r="A133" s="79" t="s">
        <v>26</v>
      </c>
      <c r="B133" s="148">
        <f t="shared" si="5"/>
        <v>0.000646</v>
      </c>
      <c r="C133" s="149"/>
      <c r="D133" s="149"/>
      <c r="E133" s="149">
        <v>0.000646</v>
      </c>
      <c r="F133" s="152"/>
      <c r="J133" s="180"/>
    </row>
    <row r="134" spans="1:10" ht="13.5">
      <c r="A134" s="78" t="s">
        <v>0</v>
      </c>
      <c r="B134" s="144">
        <f t="shared" si="5"/>
        <v>3.0563200000000004</v>
      </c>
      <c r="C134" s="145">
        <v>2.301302</v>
      </c>
      <c r="D134" s="146"/>
      <c r="E134" s="153">
        <v>0.601629</v>
      </c>
      <c r="F134" s="154">
        <v>0.153389</v>
      </c>
      <c r="J134" s="180"/>
    </row>
    <row r="135" spans="1:10" ht="13.5">
      <c r="A135" s="78" t="s">
        <v>12</v>
      </c>
      <c r="B135" s="144">
        <f t="shared" si="5"/>
        <v>0.475772</v>
      </c>
      <c r="C135" s="145">
        <f>C136</f>
        <v>0.147898</v>
      </c>
      <c r="D135" s="146">
        <f>D136</f>
        <v>0</v>
      </c>
      <c r="E135" s="146">
        <f>E136</f>
        <v>0.256575</v>
      </c>
      <c r="F135" s="147">
        <f>F136</f>
        <v>0.071299</v>
      </c>
      <c r="J135" s="180"/>
    </row>
    <row r="136" spans="1:10" ht="12.75">
      <c r="A136" s="79" t="s">
        <v>13</v>
      </c>
      <c r="B136" s="148">
        <f t="shared" si="5"/>
        <v>0.475772</v>
      </c>
      <c r="C136" s="149">
        <v>0.147898</v>
      </c>
      <c r="D136" s="150"/>
      <c r="E136" s="149">
        <v>0.256575</v>
      </c>
      <c r="F136" s="151">
        <v>0.071299</v>
      </c>
      <c r="J136" s="180"/>
    </row>
    <row r="137" spans="1:10" ht="13.5" thickBot="1">
      <c r="A137" s="80" t="s">
        <v>14</v>
      </c>
      <c r="B137" s="155">
        <f t="shared" si="5"/>
        <v>0.744</v>
      </c>
      <c r="C137" s="156">
        <v>0.225</v>
      </c>
      <c r="D137" s="157"/>
      <c r="E137" s="156">
        <v>0.405</v>
      </c>
      <c r="F137" s="158">
        <v>0.114</v>
      </c>
      <c r="J137" s="180"/>
    </row>
    <row r="138" spans="1:10" ht="13.5" thickBot="1">
      <c r="A138" s="72" t="s">
        <v>20</v>
      </c>
      <c r="B138" s="141">
        <f t="shared" si="5"/>
        <v>0.6948129999999999</v>
      </c>
      <c r="C138" s="142">
        <f>C139+C147+C148</f>
        <v>0.053796</v>
      </c>
      <c r="D138" s="142">
        <f>D139+D147+D148</f>
        <v>0</v>
      </c>
      <c r="E138" s="142">
        <f>E139+E147+E148</f>
        <v>0.241466</v>
      </c>
      <c r="F138" s="143">
        <f>F139+F147</f>
        <v>0.399551</v>
      </c>
      <c r="J138" s="180"/>
    </row>
    <row r="139" spans="1:10" ht="13.5">
      <c r="A139" s="78" t="s">
        <v>10</v>
      </c>
      <c r="B139" s="159">
        <f t="shared" si="5"/>
        <v>0.281366</v>
      </c>
      <c r="C139" s="160">
        <f>C140+C141+C142+C143+C144+C145+C146</f>
        <v>0</v>
      </c>
      <c r="D139" s="160">
        <f>D140+D141+D142+D143+D144+D145+D146</f>
        <v>0</v>
      </c>
      <c r="E139" s="160">
        <f>E140+E141+E142+E143+E144+E145+E146</f>
        <v>0</v>
      </c>
      <c r="F139" s="166">
        <f>F140+F141+F142+F143+F144+F145+F146</f>
        <v>0.281366</v>
      </c>
      <c r="J139" s="180"/>
    </row>
    <row r="140" spans="1:6" ht="12.75">
      <c r="A140" s="79" t="s">
        <v>4</v>
      </c>
      <c r="B140" s="148">
        <f t="shared" si="5"/>
        <v>0.221137</v>
      </c>
      <c r="C140" s="149"/>
      <c r="D140" s="149"/>
      <c r="E140" s="149"/>
      <c r="F140" s="152">
        <v>0.221137</v>
      </c>
    </row>
    <row r="141" spans="1:6" ht="12.75">
      <c r="A141" s="79" t="s">
        <v>17</v>
      </c>
      <c r="B141" s="148">
        <f t="shared" si="5"/>
        <v>0</v>
      </c>
      <c r="C141" s="149"/>
      <c r="D141" s="149"/>
      <c r="E141" s="149"/>
      <c r="F141" s="152"/>
    </row>
    <row r="142" spans="1:11" ht="12.75">
      <c r="A142" s="79" t="s">
        <v>5</v>
      </c>
      <c r="B142" s="148">
        <f t="shared" si="5"/>
        <v>0.060229</v>
      </c>
      <c r="C142" s="149"/>
      <c r="D142" s="149"/>
      <c r="E142" s="149"/>
      <c r="F142" s="152">
        <v>0.060229</v>
      </c>
      <c r="I142" s="180"/>
      <c r="J142" s="180"/>
      <c r="K142" s="224"/>
    </row>
    <row r="143" spans="1:11" ht="12.75">
      <c r="A143" s="79" t="s">
        <v>23</v>
      </c>
      <c r="B143" s="148">
        <f>SUM(C143:F143)</f>
        <v>0</v>
      </c>
      <c r="C143" s="149"/>
      <c r="D143" s="149"/>
      <c r="E143" s="149"/>
      <c r="F143" s="152"/>
      <c r="I143" s="180"/>
      <c r="J143" s="180"/>
      <c r="K143" s="224"/>
    </row>
    <row r="144" spans="1:11" ht="12.75">
      <c r="A144" s="79" t="s">
        <v>24</v>
      </c>
      <c r="B144" s="148">
        <f>SUM(C144:F144)</f>
        <v>0</v>
      </c>
      <c r="C144" s="149"/>
      <c r="D144" s="149"/>
      <c r="E144" s="149"/>
      <c r="F144" s="152"/>
      <c r="I144" s="180"/>
      <c r="J144" s="180"/>
      <c r="K144" s="224"/>
    </row>
    <row r="145" spans="1:11" ht="12.75">
      <c r="A145" s="79" t="s">
        <v>25</v>
      </c>
      <c r="B145" s="148">
        <f>SUM(C145:F145)</f>
        <v>0</v>
      </c>
      <c r="C145" s="149"/>
      <c r="D145" s="149"/>
      <c r="E145" s="149"/>
      <c r="F145" s="152"/>
      <c r="I145" s="209"/>
      <c r="J145" s="180"/>
      <c r="K145" s="224"/>
    </row>
    <row r="146" spans="1:11" ht="12.75">
      <c r="A146" s="79" t="s">
        <v>26</v>
      </c>
      <c r="B146" s="148">
        <f>SUM(C146:F146)</f>
        <v>0</v>
      </c>
      <c r="C146" s="149"/>
      <c r="D146" s="149"/>
      <c r="E146" s="149"/>
      <c r="F146" s="152"/>
      <c r="I146" s="209"/>
      <c r="J146" s="180"/>
      <c r="K146" s="224"/>
    </row>
    <row r="147" spans="1:11" ht="13.5">
      <c r="A147" s="78" t="s">
        <v>0</v>
      </c>
      <c r="B147" s="163">
        <f>SUM(C147:F147)</f>
        <v>0.381262</v>
      </c>
      <c r="C147" s="164">
        <v>0.053796</v>
      </c>
      <c r="D147" s="164"/>
      <c r="E147" s="164">
        <v>0.209281</v>
      </c>
      <c r="F147" s="165">
        <v>0.118185</v>
      </c>
      <c r="I147" s="209"/>
      <c r="J147" s="180"/>
      <c r="K147" s="224"/>
    </row>
    <row r="148" spans="1:11" ht="13.5">
      <c r="A148" s="78" t="s">
        <v>12</v>
      </c>
      <c r="B148" s="144">
        <f>SUM(C148:F148)</f>
        <v>0.032185</v>
      </c>
      <c r="C148" s="145">
        <f>C149</f>
        <v>0</v>
      </c>
      <c r="D148" s="146">
        <f>D149</f>
        <v>0</v>
      </c>
      <c r="E148" s="146">
        <f>E149</f>
        <v>0.032185</v>
      </c>
      <c r="F148" s="147">
        <f>F149</f>
        <v>0</v>
      </c>
      <c r="I148" s="209"/>
      <c r="J148" s="180"/>
      <c r="K148" s="224"/>
    </row>
    <row r="149" spans="1:11" ht="12.75">
      <c r="A149" s="79" t="s">
        <v>13</v>
      </c>
      <c r="B149" s="148">
        <f>SUM(C149:F149)</f>
        <v>0.032185</v>
      </c>
      <c r="C149" s="149"/>
      <c r="D149" s="150"/>
      <c r="E149" s="150">
        <v>0.032185</v>
      </c>
      <c r="F149" s="151"/>
      <c r="I149" s="209"/>
      <c r="J149" s="180"/>
      <c r="K149" s="224"/>
    </row>
    <row r="150" spans="1:11" ht="13.5" thickBot="1">
      <c r="A150" s="80" t="s">
        <v>14</v>
      </c>
      <c r="B150" s="155">
        <f>SUM(C150:F150)</f>
        <v>0.046</v>
      </c>
      <c r="C150" s="156"/>
      <c r="D150" s="157"/>
      <c r="E150" s="157">
        <v>0.046</v>
      </c>
      <c r="F150" s="158"/>
      <c r="I150" s="209"/>
      <c r="J150" s="180"/>
      <c r="K150" s="224"/>
    </row>
    <row r="151" spans="1:11" ht="13.5" thickBot="1">
      <c r="A151" s="72" t="s">
        <v>21</v>
      </c>
      <c r="B151" s="141">
        <f>SUM(C151:F151)</f>
        <v>1.9329749999999999</v>
      </c>
      <c r="C151" s="142">
        <f>C152+C160+C161</f>
        <v>0</v>
      </c>
      <c r="D151" s="142">
        <f>D152+D160+D161</f>
        <v>0</v>
      </c>
      <c r="E151" s="142">
        <f>E152+E160+E161</f>
        <v>1.160482</v>
      </c>
      <c r="F151" s="143">
        <f>F152+F160+F161</f>
        <v>0.7724929999999999</v>
      </c>
      <c r="I151" s="209"/>
      <c r="J151" s="180"/>
      <c r="K151" s="224"/>
    </row>
    <row r="152" spans="1:11" ht="13.5">
      <c r="A152" s="78" t="s">
        <v>10</v>
      </c>
      <c r="B152" s="159">
        <f>SUM(C152:F152)</f>
        <v>0.920858</v>
      </c>
      <c r="C152" s="160">
        <f>C153+C154+C155+C156+C157+C158+C159</f>
        <v>0</v>
      </c>
      <c r="D152" s="160">
        <f>D153+D154+D155+D156+D157+D158+D159</f>
        <v>0</v>
      </c>
      <c r="E152" s="160">
        <f>E153+E154+E155+E156+E157+E158+E159</f>
        <v>0.3112190000000001</v>
      </c>
      <c r="F152" s="166">
        <f>F153+F154+F155+F156+F157+F158+F159</f>
        <v>0.6096389999999999</v>
      </c>
      <c r="I152" s="209"/>
      <c r="J152" s="180"/>
      <c r="K152" s="224"/>
    </row>
    <row r="153" spans="1:11" ht="12.75">
      <c r="A153" s="79" t="s">
        <v>4</v>
      </c>
      <c r="B153" s="148">
        <f>SUM(C153:F153)</f>
        <v>0.5428919999999999</v>
      </c>
      <c r="C153" s="149"/>
      <c r="D153" s="150"/>
      <c r="E153" s="150">
        <v>0.162366</v>
      </c>
      <c r="F153" s="151">
        <v>0.380526</v>
      </c>
      <c r="I153" s="209"/>
      <c r="J153" s="180"/>
      <c r="K153" s="224"/>
    </row>
    <row r="154" spans="1:11" ht="12.75">
      <c r="A154" s="79" t="s">
        <v>17</v>
      </c>
      <c r="B154" s="148">
        <f>SUM(C154:F154)</f>
        <v>0.21881099999999998</v>
      </c>
      <c r="C154" s="149"/>
      <c r="D154" s="150"/>
      <c r="E154" s="150">
        <v>0.14634</v>
      </c>
      <c r="F154" s="151">
        <v>0.072471</v>
      </c>
      <c r="J154" s="180"/>
      <c r="K154" s="224"/>
    </row>
    <row r="155" spans="1:10" ht="12.75">
      <c r="A155" s="79" t="s">
        <v>5</v>
      </c>
      <c r="B155" s="148">
        <f>SUM(C155:F155)</f>
        <v>0.157172</v>
      </c>
      <c r="C155" s="149"/>
      <c r="D155" s="150"/>
      <c r="E155" s="150">
        <v>0.001746</v>
      </c>
      <c r="F155" s="151">
        <v>0.155426</v>
      </c>
      <c r="J155" s="180"/>
    </row>
    <row r="156" spans="1:10" ht="12.75">
      <c r="A156" s="79" t="s">
        <v>23</v>
      </c>
      <c r="B156" s="148">
        <f>SUM(C156:F156)</f>
        <v>0</v>
      </c>
      <c r="C156" s="149"/>
      <c r="D156" s="149"/>
      <c r="E156" s="149"/>
      <c r="F156" s="152"/>
      <c r="J156" s="205"/>
    </row>
    <row r="157" spans="1:10" ht="12.75">
      <c r="A157" s="79" t="s">
        <v>24</v>
      </c>
      <c r="B157" s="148">
        <f>SUM(C157:F157)</f>
        <v>0.001166</v>
      </c>
      <c r="C157" s="149"/>
      <c r="D157" s="149"/>
      <c r="E157" s="149"/>
      <c r="F157" s="152">
        <v>0.001166</v>
      </c>
      <c r="J157" s="180"/>
    </row>
    <row r="158" spans="1:10" ht="12.75">
      <c r="A158" s="79" t="s">
        <v>25</v>
      </c>
      <c r="B158" s="148">
        <f>SUM(C158:F158)</f>
        <v>0</v>
      </c>
      <c r="C158" s="149"/>
      <c r="D158" s="149"/>
      <c r="E158" s="149"/>
      <c r="F158" s="152"/>
      <c r="J158" s="180"/>
    </row>
    <row r="159" spans="1:10" ht="12.75">
      <c r="A159" s="79" t="s">
        <v>26</v>
      </c>
      <c r="B159" s="148">
        <f>SUM(C159:F159)</f>
        <v>0.000817</v>
      </c>
      <c r="C159" s="149"/>
      <c r="D159" s="149"/>
      <c r="E159" s="149">
        <v>0.000767</v>
      </c>
      <c r="F159" s="152">
        <v>5E-05</v>
      </c>
      <c r="J159" s="180"/>
    </row>
    <row r="160" spans="1:10" ht="13.5">
      <c r="A160" s="78" t="s">
        <v>0</v>
      </c>
      <c r="B160" s="144">
        <f>SUM(C160:F160)</f>
        <v>0.753603</v>
      </c>
      <c r="C160" s="145"/>
      <c r="D160" s="146"/>
      <c r="E160" s="153">
        <v>0.606353</v>
      </c>
      <c r="F160" s="154">
        <v>0.14725</v>
      </c>
      <c r="J160" s="180"/>
    </row>
    <row r="161" spans="1:10" ht="13.5">
      <c r="A161" s="78" t="s">
        <v>12</v>
      </c>
      <c r="B161" s="144">
        <f>SUM(C161:F161)</f>
        <v>0.25851399999999997</v>
      </c>
      <c r="C161" s="145">
        <f>C162</f>
        <v>0</v>
      </c>
      <c r="D161" s="146">
        <f>D162</f>
        <v>0</v>
      </c>
      <c r="E161" s="146">
        <f>E162</f>
        <v>0.24291</v>
      </c>
      <c r="F161" s="147">
        <f>F162</f>
        <v>0.015604</v>
      </c>
      <c r="J161" s="180"/>
    </row>
    <row r="162" spans="1:10" ht="12.75">
      <c r="A162" s="79" t="s">
        <v>13</v>
      </c>
      <c r="B162" s="148">
        <f>SUM(C162:F162)</f>
        <v>0.25851399999999997</v>
      </c>
      <c r="C162" s="149"/>
      <c r="D162" s="150"/>
      <c r="E162" s="150">
        <v>0.24291</v>
      </c>
      <c r="F162" s="151">
        <v>0.015604</v>
      </c>
      <c r="J162" s="180"/>
    </row>
    <row r="163" spans="1:10" ht="13.5" thickBot="1">
      <c r="A163" s="80" t="s">
        <v>14</v>
      </c>
      <c r="B163" s="155">
        <f>SUM(C163:F163)</f>
        <v>0.386</v>
      </c>
      <c r="C163" s="156"/>
      <c r="D163" s="157"/>
      <c r="E163" s="157">
        <v>0.336</v>
      </c>
      <c r="F163" s="158">
        <v>0.05</v>
      </c>
      <c r="J163" s="180"/>
    </row>
    <row r="164" spans="1:10" ht="13.5" thickBot="1">
      <c r="A164" s="72" t="s">
        <v>22</v>
      </c>
      <c r="B164" s="141">
        <f>SUM(C164:F164)</f>
        <v>2.632213</v>
      </c>
      <c r="C164" s="142">
        <f>C165+C173+C174</f>
        <v>0</v>
      </c>
      <c r="D164" s="142">
        <f>D165+D173+D174</f>
        <v>0</v>
      </c>
      <c r="E164" s="142">
        <f>E165+E173+E174</f>
        <v>1.458849</v>
      </c>
      <c r="F164" s="143">
        <f>F165+F173+F174</f>
        <v>1.173364</v>
      </c>
      <c r="J164" s="180"/>
    </row>
    <row r="165" spans="1:10" ht="13.5">
      <c r="A165" s="78" t="s">
        <v>10</v>
      </c>
      <c r="B165" s="159">
        <f>SUM(C165:F165)</f>
        <v>1.5550950000000001</v>
      </c>
      <c r="C165" s="160">
        <f>C166+C167+C168+C169+C170+C171+C172</f>
        <v>0</v>
      </c>
      <c r="D165" s="160">
        <f>D166+D167+D168+D169+D170+D171+D172</f>
        <v>0</v>
      </c>
      <c r="E165" s="160">
        <f>E166+E167+E168+E169+E170+E171+E172</f>
        <v>0.6772980000000001</v>
      </c>
      <c r="F165" s="166">
        <f>F166+F167+F168+F169+F170+F171+F172</f>
        <v>0.877797</v>
      </c>
      <c r="J165" s="180"/>
    </row>
    <row r="166" spans="1:10" ht="13.5">
      <c r="A166" s="78" t="s">
        <v>4</v>
      </c>
      <c r="B166" s="148">
        <f>SUM(C166:F166)</f>
        <v>1.112709</v>
      </c>
      <c r="C166" s="149"/>
      <c r="D166" s="150"/>
      <c r="E166" s="150">
        <v>0.446599</v>
      </c>
      <c r="F166" s="151">
        <v>0.66611</v>
      </c>
      <c r="J166" s="180"/>
    </row>
    <row r="167" spans="1:10" ht="13.5">
      <c r="A167" s="78" t="s">
        <v>17</v>
      </c>
      <c r="B167" s="148">
        <f>SUM(C167:F167)</f>
        <v>0.395842</v>
      </c>
      <c r="C167" s="149"/>
      <c r="D167" s="150"/>
      <c r="E167" s="150">
        <v>0.219425</v>
      </c>
      <c r="F167" s="151">
        <v>0.176417</v>
      </c>
      <c r="J167" s="180"/>
    </row>
    <row r="168" spans="1:6" ht="13.5">
      <c r="A168" s="78" t="s">
        <v>5</v>
      </c>
      <c r="B168" s="148">
        <f>SUM(C168:F168)</f>
        <v>0.040369</v>
      </c>
      <c r="C168" s="149"/>
      <c r="D168" s="150"/>
      <c r="E168" s="150">
        <v>0.005182</v>
      </c>
      <c r="F168" s="151">
        <v>0.035187</v>
      </c>
    </row>
    <row r="169" spans="1:6" ht="12.75">
      <c r="A169" s="79" t="s">
        <v>23</v>
      </c>
      <c r="B169" s="148">
        <f>SUM(C169:F169)</f>
        <v>0</v>
      </c>
      <c r="C169" s="149"/>
      <c r="D169" s="149"/>
      <c r="E169" s="149"/>
      <c r="F169" s="152"/>
    </row>
    <row r="170" spans="1:6" ht="12.75">
      <c r="A170" s="79" t="s">
        <v>24</v>
      </c>
      <c r="B170" s="148">
        <f>SUM(C170:F170)</f>
        <v>0.005888</v>
      </c>
      <c r="C170" s="149"/>
      <c r="D170" s="149"/>
      <c r="E170" s="149">
        <v>0.005888</v>
      </c>
      <c r="F170" s="152"/>
    </row>
    <row r="171" spans="1:6" ht="12.75">
      <c r="A171" s="79" t="s">
        <v>25</v>
      </c>
      <c r="B171" s="148">
        <f>SUM(C171:F171)</f>
        <v>0</v>
      </c>
      <c r="C171" s="149"/>
      <c r="D171" s="149"/>
      <c r="E171" s="149"/>
      <c r="F171" s="152"/>
    </row>
    <row r="172" spans="1:6" ht="12.75">
      <c r="A172" s="79" t="s">
        <v>26</v>
      </c>
      <c r="B172" s="148">
        <f>SUM(C172:F172)</f>
        <v>0.000287</v>
      </c>
      <c r="C172" s="149"/>
      <c r="D172" s="149"/>
      <c r="E172" s="149">
        <v>0.000204</v>
      </c>
      <c r="F172" s="152">
        <v>8.3E-05</v>
      </c>
    </row>
    <row r="173" spans="1:6" ht="13.5">
      <c r="A173" s="78" t="s">
        <v>0</v>
      </c>
      <c r="B173" s="144">
        <f>SUM(C173:F173)</f>
        <v>0.941683</v>
      </c>
      <c r="C173" s="145"/>
      <c r="D173" s="146"/>
      <c r="E173" s="153">
        <v>0.741189</v>
      </c>
      <c r="F173" s="154">
        <v>0.200494</v>
      </c>
    </row>
    <row r="174" spans="1:6" ht="13.5">
      <c r="A174" s="78" t="s">
        <v>12</v>
      </c>
      <c r="B174" s="144">
        <f>SUM(C174:F174)</f>
        <v>0.135435</v>
      </c>
      <c r="C174" s="145">
        <f>C175</f>
        <v>0</v>
      </c>
      <c r="D174" s="146">
        <f>D175</f>
        <v>0</v>
      </c>
      <c r="E174" s="146">
        <f>E175</f>
        <v>0.040362</v>
      </c>
      <c r="F174" s="147">
        <f>F175</f>
        <v>0.095073</v>
      </c>
    </row>
    <row r="175" spans="1:6" ht="12.75">
      <c r="A175" s="79" t="s">
        <v>13</v>
      </c>
      <c r="B175" s="148">
        <f>SUM(C175:F175)</f>
        <v>0.135435</v>
      </c>
      <c r="C175" s="149"/>
      <c r="D175" s="150"/>
      <c r="E175" s="150">
        <v>0.040362</v>
      </c>
      <c r="F175" s="151">
        <v>0.095073</v>
      </c>
    </row>
    <row r="176" spans="1:6" ht="13.5" thickBot="1">
      <c r="A176" s="80" t="s">
        <v>14</v>
      </c>
      <c r="B176" s="155">
        <f>SUM(C176:F176)</f>
        <v>0.232</v>
      </c>
      <c r="C176" s="156"/>
      <c r="D176" s="157"/>
      <c r="E176" s="157">
        <v>0.069</v>
      </c>
      <c r="F176" s="158">
        <v>0.163</v>
      </c>
    </row>
    <row r="177" spans="1:6" ht="13.5" thickBot="1">
      <c r="A177" s="72" t="s">
        <v>36</v>
      </c>
      <c r="B177" s="141">
        <f>SUM(C177:F177)</f>
        <v>5.2018260000000005</v>
      </c>
      <c r="C177" s="142">
        <f>C178+C186+C187</f>
        <v>0</v>
      </c>
      <c r="D177" s="142">
        <f>D178+D186+D187</f>
        <v>0</v>
      </c>
      <c r="E177" s="142">
        <f>E178+E186+E187</f>
        <v>0.838916</v>
      </c>
      <c r="F177" s="143">
        <f>F178+F186+F187</f>
        <v>4.36291</v>
      </c>
    </row>
    <row r="178" spans="1:6" ht="13.5">
      <c r="A178" s="78" t="s">
        <v>10</v>
      </c>
      <c r="B178" s="159">
        <f>SUM(C178:F178)</f>
        <v>3.343694</v>
      </c>
      <c r="C178" s="160">
        <f>C179+C180+C181+C182+C183+C184+C185</f>
        <v>0</v>
      </c>
      <c r="D178" s="160">
        <f>D179+D180+D181+D182+D183+D184+D185</f>
        <v>0</v>
      </c>
      <c r="E178" s="160">
        <f>E179+E180+E181+E182+E183+E184+E185</f>
        <v>0.022416</v>
      </c>
      <c r="F178" s="166">
        <f>F179+F180+F181+F182+F183+F184+F185</f>
        <v>3.321278</v>
      </c>
    </row>
    <row r="179" spans="1:6" ht="12.75">
      <c r="A179" s="79" t="s">
        <v>4</v>
      </c>
      <c r="B179" s="148">
        <f>SUM(C179:F179)</f>
        <v>0.329205</v>
      </c>
      <c r="C179" s="149"/>
      <c r="D179" s="150"/>
      <c r="E179" s="150">
        <v>0.00196</v>
      </c>
      <c r="F179" s="151">
        <v>0.327245</v>
      </c>
    </row>
    <row r="180" spans="1:6" ht="12.75">
      <c r="A180" s="79" t="s">
        <v>17</v>
      </c>
      <c r="B180" s="148">
        <f>SUM(C180:F180)</f>
        <v>0</v>
      </c>
      <c r="C180" s="149"/>
      <c r="D180" s="150"/>
      <c r="E180" s="150"/>
      <c r="F180" s="151"/>
    </row>
    <row r="181" spans="1:6" ht="12.75">
      <c r="A181" s="79" t="s">
        <v>5</v>
      </c>
      <c r="B181" s="148">
        <f>SUM(C181:F181)</f>
        <v>3.009006</v>
      </c>
      <c r="C181" s="149"/>
      <c r="D181" s="150"/>
      <c r="E181" s="150">
        <v>0.01621</v>
      </c>
      <c r="F181" s="151">
        <v>2.992796</v>
      </c>
    </row>
    <row r="182" spans="1:6" ht="12.75">
      <c r="A182" s="79" t="s">
        <v>23</v>
      </c>
      <c r="B182" s="148">
        <f>SUM(C182:F182)</f>
        <v>0</v>
      </c>
      <c r="C182" s="149"/>
      <c r="D182" s="149"/>
      <c r="E182" s="149"/>
      <c r="F182" s="152"/>
    </row>
    <row r="183" spans="1:6" ht="12.75">
      <c r="A183" s="79" t="s">
        <v>24</v>
      </c>
      <c r="B183" s="148">
        <f>SUM(C183:F183)</f>
        <v>0.005483</v>
      </c>
      <c r="C183" s="149"/>
      <c r="D183" s="149"/>
      <c r="E183" s="149">
        <v>0.004246</v>
      </c>
      <c r="F183" s="152">
        <v>0.001237</v>
      </c>
    </row>
    <row r="184" spans="1:6" ht="12.75">
      <c r="A184" s="79" t="s">
        <v>25</v>
      </c>
      <c r="B184" s="148">
        <f>SUM(C184:F184)</f>
        <v>0</v>
      </c>
      <c r="C184" s="149"/>
      <c r="D184" s="149"/>
      <c r="E184" s="149"/>
      <c r="F184" s="152"/>
    </row>
    <row r="185" spans="1:6" ht="12.75">
      <c r="A185" s="79" t="s">
        <v>26</v>
      </c>
      <c r="B185" s="148">
        <f>SUM(C185:F185)</f>
        <v>0</v>
      </c>
      <c r="C185" s="149"/>
      <c r="D185" s="149"/>
      <c r="E185" s="149"/>
      <c r="F185" s="152"/>
    </row>
    <row r="186" spans="1:6" ht="13.5">
      <c r="A186" s="78" t="s">
        <v>0</v>
      </c>
      <c r="B186" s="144">
        <f>SUM(C186:F186)</f>
        <v>1.62205</v>
      </c>
      <c r="C186" s="145"/>
      <c r="D186" s="146"/>
      <c r="E186" s="153">
        <v>0.711031</v>
      </c>
      <c r="F186" s="154">
        <v>0.911019</v>
      </c>
    </row>
    <row r="187" spans="1:6" ht="13.5">
      <c r="A187" s="82" t="s">
        <v>12</v>
      </c>
      <c r="B187" s="163">
        <f>SUM(C187:F187)</f>
        <v>0.23608200000000001</v>
      </c>
      <c r="C187" s="164">
        <f>C188</f>
        <v>0</v>
      </c>
      <c r="D187" s="153">
        <f>D188</f>
        <v>0</v>
      </c>
      <c r="E187" s="153">
        <f>E188</f>
        <v>0.105469</v>
      </c>
      <c r="F187" s="154">
        <f>F188</f>
        <v>0.130613</v>
      </c>
    </row>
    <row r="188" spans="1:6" ht="12.75">
      <c r="A188" s="79" t="s">
        <v>13</v>
      </c>
      <c r="B188" s="148">
        <f>SUM(C188:F188)</f>
        <v>0.23608200000000001</v>
      </c>
      <c r="C188" s="149"/>
      <c r="D188" s="150"/>
      <c r="E188" s="150">
        <v>0.105469</v>
      </c>
      <c r="F188" s="151">
        <v>0.130613</v>
      </c>
    </row>
    <row r="189" spans="1:6" ht="13.5" thickBot="1">
      <c r="A189" s="80" t="s">
        <v>14</v>
      </c>
      <c r="B189" s="155">
        <f>SUM(C189:F189)</f>
        <v>0.393</v>
      </c>
      <c r="C189" s="156"/>
      <c r="D189" s="157"/>
      <c r="E189" s="157">
        <v>0.176</v>
      </c>
      <c r="F189" s="158">
        <v>0.217</v>
      </c>
    </row>
    <row r="190" spans="1:6" ht="13.5" thickBot="1">
      <c r="A190" s="72" t="s">
        <v>30</v>
      </c>
      <c r="B190" s="141">
        <f aca="true" t="shared" si="6" ref="B190:B199">SUM(C190:F190)</f>
        <v>0.485862</v>
      </c>
      <c r="C190" s="142">
        <f>C191+C199+C200</f>
        <v>0</v>
      </c>
      <c r="D190" s="142">
        <f>D191+D199+D200</f>
        <v>0</v>
      </c>
      <c r="E190" s="142">
        <f>E191+E199+E200</f>
        <v>0.45942700000000003</v>
      </c>
      <c r="F190" s="143">
        <f>F191+F199+F200</f>
        <v>0.026435</v>
      </c>
    </row>
    <row r="191" spans="1:6" ht="13.5">
      <c r="A191" s="78" t="s">
        <v>10</v>
      </c>
      <c r="B191" s="159">
        <f t="shared" si="6"/>
        <v>0.026874</v>
      </c>
      <c r="C191" s="160">
        <f>C192+C193+C194+C195+C196+C197+C198</f>
        <v>0</v>
      </c>
      <c r="D191" s="160">
        <f>D192+D193+D194+D195+D196+D197+D198</f>
        <v>0</v>
      </c>
      <c r="E191" s="160">
        <f>E192+E193+E194+E195+E196+E197+E198</f>
        <v>0.000464</v>
      </c>
      <c r="F191" s="166">
        <f>F192+F193+F194+F195+F196+F197+F198</f>
        <v>0.02641</v>
      </c>
    </row>
    <row r="192" spans="1:6" ht="12.75">
      <c r="A192" s="79" t="s">
        <v>4</v>
      </c>
      <c r="B192" s="148">
        <f t="shared" si="6"/>
        <v>0.02081</v>
      </c>
      <c r="C192" s="149"/>
      <c r="D192" s="150"/>
      <c r="E192" s="150"/>
      <c r="F192" s="151">
        <v>0.02081</v>
      </c>
    </row>
    <row r="193" spans="1:6" ht="12.75">
      <c r="A193" s="79" t="s">
        <v>17</v>
      </c>
      <c r="B193" s="148">
        <f t="shared" si="6"/>
        <v>0</v>
      </c>
      <c r="C193" s="149"/>
      <c r="D193" s="150"/>
      <c r="E193" s="150"/>
      <c r="F193" s="151"/>
    </row>
    <row r="194" spans="1:6" ht="12.75">
      <c r="A194" s="79" t="s">
        <v>5</v>
      </c>
      <c r="B194" s="148">
        <f t="shared" si="6"/>
        <v>0.000464</v>
      </c>
      <c r="C194" s="149"/>
      <c r="D194" s="150"/>
      <c r="E194" s="150">
        <v>0.000464</v>
      </c>
      <c r="F194" s="151"/>
    </row>
    <row r="195" spans="1:6" ht="12.75">
      <c r="A195" s="79" t="s">
        <v>23</v>
      </c>
      <c r="B195" s="148">
        <f t="shared" si="6"/>
        <v>0</v>
      </c>
      <c r="C195" s="149"/>
      <c r="D195" s="149"/>
      <c r="E195" s="149"/>
      <c r="F195" s="152"/>
    </row>
    <row r="196" spans="1:6" ht="12.75">
      <c r="A196" s="79" t="s">
        <v>24</v>
      </c>
      <c r="B196" s="148">
        <f t="shared" si="6"/>
        <v>0</v>
      </c>
      <c r="C196" s="149"/>
      <c r="D196" s="149"/>
      <c r="E196" s="149"/>
      <c r="F196" s="152"/>
    </row>
    <row r="197" spans="1:6" ht="12.75">
      <c r="A197" s="79" t="s">
        <v>25</v>
      </c>
      <c r="B197" s="148">
        <f t="shared" si="6"/>
        <v>0</v>
      </c>
      <c r="C197" s="149"/>
      <c r="D197" s="149"/>
      <c r="E197" s="149"/>
      <c r="F197" s="152"/>
    </row>
    <row r="198" spans="1:6" ht="12.75">
      <c r="A198" s="79" t="s">
        <v>26</v>
      </c>
      <c r="B198" s="148">
        <f t="shared" si="6"/>
        <v>0.0056</v>
      </c>
      <c r="C198" s="149"/>
      <c r="D198" s="149"/>
      <c r="E198" s="149"/>
      <c r="F198" s="152">
        <v>0.0056</v>
      </c>
    </row>
    <row r="199" spans="1:6" ht="13.5">
      <c r="A199" s="83" t="s">
        <v>0</v>
      </c>
      <c r="B199" s="167">
        <f t="shared" si="6"/>
        <v>0.226444</v>
      </c>
      <c r="C199" s="164"/>
      <c r="D199" s="153"/>
      <c r="E199" s="153">
        <v>0.226419</v>
      </c>
      <c r="F199" s="154">
        <v>2.5E-05</v>
      </c>
    </row>
    <row r="200" spans="1:6" ht="13.5">
      <c r="A200" s="82" t="s">
        <v>12</v>
      </c>
      <c r="B200" s="163">
        <f>SUM(C200:F200)</f>
        <v>0.232544</v>
      </c>
      <c r="C200" s="164">
        <f>C201</f>
        <v>0</v>
      </c>
      <c r="D200" s="153">
        <f>D201</f>
        <v>0</v>
      </c>
      <c r="E200" s="153">
        <f>E201</f>
        <v>0.232544</v>
      </c>
      <c r="F200" s="154">
        <f>F201</f>
        <v>0</v>
      </c>
    </row>
    <row r="201" spans="1:6" ht="12.75">
      <c r="A201" s="79" t="s">
        <v>13</v>
      </c>
      <c r="B201" s="148">
        <f>SUM(C201:F201)</f>
        <v>0.232544</v>
      </c>
      <c r="C201" s="149"/>
      <c r="D201" s="150"/>
      <c r="E201" s="150">
        <v>0.232544</v>
      </c>
      <c r="F201" s="151"/>
    </row>
    <row r="202" spans="1:6" ht="13.5" thickBot="1">
      <c r="A202" s="80" t="s">
        <v>14</v>
      </c>
      <c r="B202" s="155">
        <f>SUM(C202:F202)</f>
        <v>0.395</v>
      </c>
      <c r="C202" s="156"/>
      <c r="D202" s="157"/>
      <c r="E202" s="157">
        <v>0.395</v>
      </c>
      <c r="F202" s="158"/>
    </row>
  </sheetData>
  <sheetProtection/>
  <mergeCells count="3">
    <mergeCell ref="B4:F4"/>
    <mergeCell ref="A5:A6"/>
    <mergeCell ref="B5:F5"/>
  </mergeCells>
  <conditionalFormatting sqref="C134">
    <cfRule type="containsText" priority="243" dxfId="273" operator="containsText" text="ложь">
      <formula>NOT(ISERROR(SEARCH("ложь",C134)))</formula>
    </cfRule>
  </conditionalFormatting>
  <conditionalFormatting sqref="J167">
    <cfRule type="containsText" priority="181" dxfId="273" operator="containsText" text="ложь">
      <formula>NOT(ISERROR(SEARCH("ложь",J167)))</formula>
    </cfRule>
  </conditionalFormatting>
  <conditionalFormatting sqref="K49:K52">
    <cfRule type="containsText" priority="106" dxfId="273" operator="containsText" text="ложь">
      <formula>NOT(ISERROR(SEARCH("ложь",K49)))</formula>
    </cfRule>
  </conditionalFormatting>
  <conditionalFormatting sqref="I35">
    <cfRule type="containsText" priority="53" dxfId="273" operator="containsText" text="ложь">
      <formula>NOT(ISERROR(SEARCH("ложь",I35)))</formula>
    </cfRule>
  </conditionalFormatting>
  <conditionalFormatting sqref="J148">
    <cfRule type="containsText" priority="194" dxfId="273" operator="containsText" text="ложь">
      <formula>NOT(ISERROR(SEARCH("ложь",J148)))</formula>
    </cfRule>
  </conditionalFormatting>
  <conditionalFormatting sqref="J149">
    <cfRule type="containsText" priority="193" dxfId="273" operator="containsText" text="ложь">
      <formula>NOT(ISERROR(SEARCH("ложь",J149)))</formula>
    </cfRule>
  </conditionalFormatting>
  <conditionalFormatting sqref="J150">
    <cfRule type="containsText" priority="192" dxfId="273" operator="containsText" text="ложь">
      <formula>NOT(ISERROR(SEARCH("ложь",J150)))</formula>
    </cfRule>
  </conditionalFormatting>
  <conditionalFormatting sqref="J152">
    <cfRule type="containsText" priority="191" dxfId="273" operator="containsText" text="ложь">
      <formula>NOT(ISERROR(SEARCH("ложь",J152)))</formula>
    </cfRule>
  </conditionalFormatting>
  <conditionalFormatting sqref="J153">
    <cfRule type="containsText" priority="190" dxfId="273" operator="containsText" text="ложь">
      <formula>NOT(ISERROR(SEARCH("ложь",J153)))</formula>
    </cfRule>
  </conditionalFormatting>
  <conditionalFormatting sqref="J154">
    <cfRule type="containsText" priority="189" dxfId="273" operator="containsText" text="ложь">
      <formula>NOT(ISERROR(SEARCH("ложь",J154)))</formula>
    </cfRule>
  </conditionalFormatting>
  <conditionalFormatting sqref="J159">
    <cfRule type="containsText" priority="188" dxfId="273" operator="containsText" text="ложь">
      <formula>NOT(ISERROR(SEARCH("ложь",J159)))</formula>
    </cfRule>
  </conditionalFormatting>
  <conditionalFormatting sqref="J160">
    <cfRule type="containsText" priority="187" dxfId="273" operator="containsText" text="ложь">
      <formula>NOT(ISERROR(SEARCH("ложь",J160)))</formula>
    </cfRule>
  </conditionalFormatting>
  <conditionalFormatting sqref="J161">
    <cfRule type="containsText" priority="186" dxfId="273" operator="containsText" text="ложь">
      <formula>NOT(ISERROR(SEARCH("ложь",J161)))</formula>
    </cfRule>
  </conditionalFormatting>
  <conditionalFormatting sqref="J162">
    <cfRule type="containsText" priority="185" dxfId="273" operator="containsText" text="ложь">
      <formula>NOT(ISERROR(SEARCH("ложь",J162)))</formula>
    </cfRule>
  </conditionalFormatting>
  <conditionalFormatting sqref="J163">
    <cfRule type="containsText" priority="184" dxfId="273" operator="containsText" text="ложь">
      <formula>NOT(ISERROR(SEARCH("ложь",J163)))</formula>
    </cfRule>
  </conditionalFormatting>
  <conditionalFormatting sqref="J165">
    <cfRule type="containsText" priority="183" dxfId="273" operator="containsText" text="ложь">
      <formula>NOT(ISERROR(SEARCH("ложь",J165)))</formula>
    </cfRule>
  </conditionalFormatting>
  <conditionalFormatting sqref="J166">
    <cfRule type="containsText" priority="182" dxfId="273" operator="containsText" text="ложь">
      <formula>NOT(ISERROR(SEARCH("ложь",J166)))</formula>
    </cfRule>
  </conditionalFormatting>
  <conditionalFormatting sqref="K148 J151:K151 J164 J155:J158 J142:K145">
    <cfRule type="containsText" priority="204" dxfId="273" operator="containsText" text="ложь">
      <formula>NOT(ISERROR(SEARCH("ложь",J142)))</formula>
    </cfRule>
  </conditionalFormatting>
  <conditionalFormatting sqref="K146">
    <cfRule type="containsText" priority="203" dxfId="273" operator="containsText" text="ложь">
      <formula>NOT(ISERROR(SEARCH("ложь",K146)))</formula>
    </cfRule>
  </conditionalFormatting>
  <conditionalFormatting sqref="K147">
    <cfRule type="containsText" priority="202" dxfId="273" operator="containsText" text="ложь">
      <formula>NOT(ISERROR(SEARCH("ложь",K147)))</formula>
    </cfRule>
  </conditionalFormatting>
  <conditionalFormatting sqref="K152">
    <cfRule type="containsText" priority="201" dxfId="273" operator="containsText" text="ложь">
      <formula>NOT(ISERROR(SEARCH("ложь",K152)))</formula>
    </cfRule>
  </conditionalFormatting>
  <conditionalFormatting sqref="K149">
    <cfRule type="containsText" priority="200" dxfId="273" operator="containsText" text="ложь">
      <formula>NOT(ISERROR(SEARCH("ложь",K149)))</formula>
    </cfRule>
  </conditionalFormatting>
  <conditionalFormatting sqref="K150">
    <cfRule type="containsText" priority="199" dxfId="273" operator="containsText" text="ложь">
      <formula>NOT(ISERROR(SEARCH("ложь",K150)))</formula>
    </cfRule>
  </conditionalFormatting>
  <conditionalFormatting sqref="K154">
    <cfRule type="containsText" priority="198" dxfId="273" operator="containsText" text="ложь">
      <formula>NOT(ISERROR(SEARCH("ложь",K154)))</formula>
    </cfRule>
  </conditionalFormatting>
  <conditionalFormatting sqref="K153">
    <cfRule type="containsText" priority="197" dxfId="273" operator="containsText" text="ложь">
      <formula>NOT(ISERROR(SEARCH("ложь",K153)))</formula>
    </cfRule>
  </conditionalFormatting>
  <conditionalFormatting sqref="J146">
    <cfRule type="containsText" priority="196" dxfId="273" operator="containsText" text="ложь">
      <formula>NOT(ISERROR(SEARCH("ложь",J146)))</formula>
    </cfRule>
  </conditionalFormatting>
  <conditionalFormatting sqref="J147">
    <cfRule type="containsText" priority="195" dxfId="273" operator="containsText" text="ложь">
      <formula>NOT(ISERROR(SEARCH("ложь",J147)))</formula>
    </cfRule>
  </conditionalFormatting>
  <conditionalFormatting sqref="J73">
    <cfRule type="containsText" priority="115" dxfId="273" operator="containsText" text="ложь">
      <formula>NOT(ISERROR(SEARCH("ложь",J73)))</formula>
    </cfRule>
  </conditionalFormatting>
  <conditionalFormatting sqref="K53">
    <cfRule type="containsText" priority="114" dxfId="273" operator="containsText" text="ложь">
      <formula>NOT(ISERROR(SEARCH("ложь",K53)))</formula>
    </cfRule>
  </conditionalFormatting>
  <conditionalFormatting sqref="K54">
    <cfRule type="containsText" priority="113" dxfId="273" operator="containsText" text="ложь">
      <formula>NOT(ISERROR(SEARCH("ложь",K54)))</formula>
    </cfRule>
  </conditionalFormatting>
  <conditionalFormatting sqref="K55">
    <cfRule type="containsText" priority="112" dxfId="273" operator="containsText" text="ложь">
      <formula>NOT(ISERROR(SEARCH("ложь",K55)))</formula>
    </cfRule>
  </conditionalFormatting>
  <conditionalFormatting sqref="K56">
    <cfRule type="containsText" priority="111" dxfId="273" operator="containsText" text="ложь">
      <formula>NOT(ISERROR(SEARCH("ложь",K56)))</formula>
    </cfRule>
  </conditionalFormatting>
  <conditionalFormatting sqref="I142 I144">
    <cfRule type="containsText" priority="180" dxfId="273" operator="containsText" text="ложь">
      <formula>NOT(ISERROR(SEARCH("ложь",I142)))</formula>
    </cfRule>
  </conditionalFormatting>
  <conditionalFormatting sqref="I143">
    <cfRule type="containsText" priority="179" dxfId="273" operator="containsText" text="ложь">
      <formula>NOT(ISERROR(SEARCH("ложь",I143)))</formula>
    </cfRule>
  </conditionalFormatting>
  <conditionalFormatting sqref="K60">
    <cfRule type="containsText" priority="108" dxfId="273" operator="containsText" text="ложь">
      <formula>NOT(ISERROR(SEARCH("ложь",K60)))</formula>
    </cfRule>
  </conditionalFormatting>
  <conditionalFormatting sqref="J57:K57 J50:J51 K48 K61">
    <cfRule type="containsText" priority="129" dxfId="273" operator="containsText" text="ложь">
      <formula>NOT(ISERROR(SEARCH("ложь",J48)))</formula>
    </cfRule>
  </conditionalFormatting>
  <conditionalFormatting sqref="J53:J54">
    <cfRule type="containsText" priority="128" dxfId="273" operator="containsText" text="ложь">
      <formula>NOT(ISERROR(SEARCH("ложь",J53)))</formula>
    </cfRule>
  </conditionalFormatting>
  <conditionalFormatting sqref="J52">
    <cfRule type="containsText" priority="127" dxfId="273" operator="containsText" text="ложь">
      <formula>NOT(ISERROR(SEARCH("ложь",J52)))</formula>
    </cfRule>
  </conditionalFormatting>
  <conditionalFormatting sqref="J55">
    <cfRule type="containsText" priority="126" dxfId="273" operator="containsText" text="ложь">
      <formula>NOT(ISERROR(SEARCH("ложь",J55)))</formula>
    </cfRule>
  </conditionalFormatting>
  <conditionalFormatting sqref="J56">
    <cfRule type="containsText" priority="125" dxfId="273" operator="containsText" text="ложь">
      <formula>NOT(ISERROR(SEARCH("ложь",J56)))</formula>
    </cfRule>
  </conditionalFormatting>
  <conditionalFormatting sqref="J58">
    <cfRule type="containsText" priority="124" dxfId="273" operator="containsText" text="ложь">
      <formula>NOT(ISERROR(SEARCH("ложь",J58)))</formula>
    </cfRule>
  </conditionalFormatting>
  <conditionalFormatting sqref="J59">
    <cfRule type="containsText" priority="123" dxfId="273" operator="containsText" text="ложь">
      <formula>NOT(ISERROR(SEARCH("ложь",J59)))</formula>
    </cfRule>
  </conditionalFormatting>
  <conditionalFormatting sqref="H66">
    <cfRule type="containsText" priority="66" dxfId="273" operator="containsText" text="ложь">
      <formula>NOT(ISERROR(SEARCH("ложь",H66)))</formula>
    </cfRule>
  </conditionalFormatting>
  <conditionalFormatting sqref="H67">
    <cfRule type="containsText" priority="65" dxfId="273" operator="containsText" text="ложь">
      <formula>NOT(ISERROR(SEARCH("ложь",H67)))</formula>
    </cfRule>
  </conditionalFormatting>
  <conditionalFormatting sqref="H68">
    <cfRule type="containsText" priority="64" dxfId="273" operator="containsText" text="ложь">
      <formula>NOT(ISERROR(SEARCH("ложь",H68)))</formula>
    </cfRule>
  </conditionalFormatting>
  <conditionalFormatting sqref="H70">
    <cfRule type="containsText" priority="63" dxfId="273" operator="containsText" text="ложь">
      <formula>NOT(ISERROR(SEARCH("ложь",H70)))</formula>
    </cfRule>
  </conditionalFormatting>
  <conditionalFormatting sqref="H71">
    <cfRule type="containsText" priority="62" dxfId="273" operator="containsText" text="ложь">
      <formula>NOT(ISERROR(SEARCH("ложь",H71)))</formula>
    </cfRule>
  </conditionalFormatting>
  <conditionalFormatting sqref="H72">
    <cfRule type="containsText" priority="61" dxfId="273" operator="containsText" text="ложь">
      <formula>NOT(ISERROR(SEARCH("ложь",H72)))</formula>
    </cfRule>
  </conditionalFormatting>
  <conditionalFormatting sqref="I27">
    <cfRule type="containsText" priority="60" dxfId="273" operator="containsText" text="ложь">
      <formula>NOT(ISERROR(SEARCH("ложь",I27)))</formula>
    </cfRule>
  </conditionalFormatting>
  <conditionalFormatting sqref="I28">
    <cfRule type="containsText" priority="59" dxfId="273" operator="containsText" text="ложь">
      <formula>NOT(ISERROR(SEARCH("ложь",I28)))</formula>
    </cfRule>
  </conditionalFormatting>
  <conditionalFormatting sqref="I29">
    <cfRule type="containsText" priority="58" dxfId="273" operator="containsText" text="ложь">
      <formula>NOT(ISERROR(SEARCH("ложь",I29)))</formula>
    </cfRule>
  </conditionalFormatting>
  <conditionalFormatting sqref="K58">
    <cfRule type="containsText" priority="110" dxfId="273" operator="containsText" text="ложь">
      <formula>NOT(ISERROR(SEARCH("ложь",K58)))</formula>
    </cfRule>
  </conditionalFormatting>
  <conditionalFormatting sqref="K59">
    <cfRule type="containsText" priority="109" dxfId="273" operator="containsText" text="ложь">
      <formula>NOT(ISERROR(SEARCH("ложь",K59)))</formula>
    </cfRule>
  </conditionalFormatting>
  <conditionalFormatting sqref="K62:K65">
    <cfRule type="containsText" priority="107" dxfId="273" operator="containsText" text="ложь">
      <formula>NOT(ISERROR(SEARCH("ложь",K62)))</formula>
    </cfRule>
  </conditionalFormatting>
  <conditionalFormatting sqref="I30">
    <cfRule type="containsText" priority="57" dxfId="273" operator="containsText" text="ложь">
      <formula>NOT(ISERROR(SEARCH("ложь",I30)))</formula>
    </cfRule>
  </conditionalFormatting>
  <conditionalFormatting sqref="I31">
    <cfRule type="containsText" priority="56" dxfId="273" operator="containsText" text="ложь">
      <formula>NOT(ISERROR(SEARCH("ложь",I31)))</formula>
    </cfRule>
  </conditionalFormatting>
  <conditionalFormatting sqref="I33">
    <cfRule type="containsText" priority="55" dxfId="273" operator="containsText" text="ложь">
      <formula>NOT(ISERROR(SEARCH("ложь",I33)))</formula>
    </cfRule>
  </conditionalFormatting>
  <conditionalFormatting sqref="I34">
    <cfRule type="containsText" priority="54" dxfId="273" operator="containsText" text="ложь">
      <formula>NOT(ISERROR(SEARCH("ложь",I34)))</formula>
    </cfRule>
  </conditionalFormatting>
  <conditionalFormatting sqref="I41">
    <cfRule type="containsText" priority="74" dxfId="273" operator="containsText" text="ложь">
      <formula>NOT(ISERROR(SEARCH("ложь",I41)))</formula>
    </cfRule>
  </conditionalFormatting>
  <conditionalFormatting sqref="I46">
    <cfRule type="containsText" priority="73" dxfId="273" operator="containsText" text="ложь">
      <formula>NOT(ISERROR(SEARCH("ложь",I46)))</formula>
    </cfRule>
  </conditionalFormatting>
  <conditionalFormatting sqref="I43">
    <cfRule type="containsText" priority="72" dxfId="273" operator="containsText" text="ложь">
      <formula>NOT(ISERROR(SEARCH("ложь",I43)))</formula>
    </cfRule>
  </conditionalFormatting>
  <conditionalFormatting sqref="I44">
    <cfRule type="containsText" priority="71" dxfId="273" operator="containsText" text="ложь">
      <formula>NOT(ISERROR(SEARCH("ложь",I44)))</formula>
    </cfRule>
  </conditionalFormatting>
  <conditionalFormatting sqref="I48">
    <cfRule type="containsText" priority="70" dxfId="273" operator="containsText" text="ложь">
      <formula>NOT(ISERROR(SEARCH("ложь",I48)))</formula>
    </cfRule>
  </conditionalFormatting>
  <conditionalFormatting sqref="I47">
    <cfRule type="containsText" priority="69" dxfId="273" operator="containsText" text="ложь">
      <formula>NOT(ISERROR(SEARCH("ложь",I47)))</formula>
    </cfRule>
  </conditionalFormatting>
  <conditionalFormatting sqref="H64">
    <cfRule type="containsText" priority="68" dxfId="273" operator="containsText" text="ложь">
      <formula>NOT(ISERROR(SEARCH("ложь",H64)))</formula>
    </cfRule>
  </conditionalFormatting>
  <conditionalFormatting sqref="H65">
    <cfRule type="containsText" priority="67" dxfId="273" operator="containsText" text="ложь">
      <formula>NOT(ISERROR(SEARCH("ложь",H65)))</formula>
    </cfRule>
  </conditionalFormatting>
  <conditionalFormatting sqref="K101:K103">
    <cfRule type="containsText" priority="159" dxfId="273" operator="containsText" text="ложь">
      <formula>NOT(ISERROR(SEARCH("ложь",K101)))</formula>
    </cfRule>
  </conditionalFormatting>
  <conditionalFormatting sqref="K105:K106">
    <cfRule type="containsText" priority="158" dxfId="273" operator="containsText" text="ложь">
      <formula>NOT(ISERROR(SEARCH("ложь",K105)))</formula>
    </cfRule>
  </conditionalFormatting>
  <conditionalFormatting sqref="K104">
    <cfRule type="containsText" priority="157" dxfId="273" operator="containsText" text="ложь">
      <formula>NOT(ISERROR(SEARCH("ложь",K104)))</formula>
    </cfRule>
  </conditionalFormatting>
  <conditionalFormatting sqref="K107">
    <cfRule type="containsText" priority="156" dxfId="273" operator="containsText" text="ложь">
      <formula>NOT(ISERROR(SEARCH("ложь",K107)))</formula>
    </cfRule>
  </conditionalFormatting>
  <conditionalFormatting sqref="K108">
    <cfRule type="containsText" priority="155" dxfId="273" operator="containsText" text="ложь">
      <formula>NOT(ISERROR(SEARCH("ложь",K108)))</formula>
    </cfRule>
  </conditionalFormatting>
  <conditionalFormatting sqref="I101:I105">
    <cfRule type="containsText" priority="154" dxfId="273" operator="containsText" text="ложь">
      <formula>NOT(ISERROR(SEARCH("ложь",I101)))</formula>
    </cfRule>
  </conditionalFormatting>
  <conditionalFormatting sqref="J124">
    <cfRule type="containsText" priority="132" dxfId="273" operator="containsText" text="ложь">
      <formula>NOT(ISERROR(SEARCH("ложь",J124)))</formula>
    </cfRule>
  </conditionalFormatting>
  <conditionalFormatting sqref="J136 J133 J110 J123 J127:J130 J101:J104 J114:J117">
    <cfRule type="containsText" priority="153" dxfId="273" operator="containsText" text="ложь">
      <formula>NOT(ISERROR(SEARCH("ложь",J101)))</formula>
    </cfRule>
  </conditionalFormatting>
  <conditionalFormatting sqref="J131">
    <cfRule type="containsText" priority="152" dxfId="273" operator="containsText" text="ложь">
      <formula>NOT(ISERROR(SEARCH("ложь",J131)))</formula>
    </cfRule>
  </conditionalFormatting>
  <conditionalFormatting sqref="J132">
    <cfRule type="containsText" priority="151" dxfId="273" operator="containsText" text="ложь">
      <formula>NOT(ISERROR(SEARCH("ложь",J132)))</formula>
    </cfRule>
  </conditionalFormatting>
  <conditionalFormatting sqref="J137">
    <cfRule type="containsText" priority="150" dxfId="273" operator="containsText" text="ложь">
      <formula>NOT(ISERROR(SEARCH("ложь",J137)))</formula>
    </cfRule>
  </conditionalFormatting>
  <conditionalFormatting sqref="J134">
    <cfRule type="containsText" priority="149" dxfId="273" operator="containsText" text="ложь">
      <formula>NOT(ISERROR(SEARCH("ложь",J134)))</formula>
    </cfRule>
  </conditionalFormatting>
  <conditionalFormatting sqref="J135">
    <cfRule type="containsText" priority="148" dxfId="273" operator="containsText" text="ложь">
      <formula>NOT(ISERROR(SEARCH("ложь",J135)))</formula>
    </cfRule>
  </conditionalFormatting>
  <conditionalFormatting sqref="J139">
    <cfRule type="containsText" priority="147" dxfId="273" operator="containsText" text="ложь">
      <formula>NOT(ISERROR(SEARCH("ложь",J139)))</formula>
    </cfRule>
  </conditionalFormatting>
  <conditionalFormatting sqref="J138">
    <cfRule type="containsText" priority="146" dxfId="273" operator="containsText" text="ложь">
      <formula>NOT(ISERROR(SEARCH("ложь",J138)))</formula>
    </cfRule>
  </conditionalFormatting>
  <conditionalFormatting sqref="J105">
    <cfRule type="containsText" priority="145" dxfId="273" operator="containsText" text="ложь">
      <formula>NOT(ISERROR(SEARCH("ложь",J105)))</formula>
    </cfRule>
  </conditionalFormatting>
  <conditionalFormatting sqref="J106">
    <cfRule type="containsText" priority="144" dxfId="273" operator="containsText" text="ложь">
      <formula>NOT(ISERROR(SEARCH("ложь",J106)))</formula>
    </cfRule>
  </conditionalFormatting>
  <conditionalFormatting sqref="J107">
    <cfRule type="containsText" priority="143" dxfId="273" operator="containsText" text="ложь">
      <formula>NOT(ISERROR(SEARCH("ложь",J107)))</formula>
    </cfRule>
  </conditionalFormatting>
  <conditionalFormatting sqref="J108">
    <cfRule type="containsText" priority="142" dxfId="273" operator="containsText" text="ложь">
      <formula>NOT(ISERROR(SEARCH("ложь",J108)))</formula>
    </cfRule>
  </conditionalFormatting>
  <conditionalFormatting sqref="J109">
    <cfRule type="containsText" priority="141" dxfId="273" operator="containsText" text="ложь">
      <formula>NOT(ISERROR(SEARCH("ложь",J109)))</formula>
    </cfRule>
  </conditionalFormatting>
  <conditionalFormatting sqref="J111">
    <cfRule type="containsText" priority="140" dxfId="273" operator="containsText" text="ложь">
      <formula>NOT(ISERROR(SEARCH("ложь",J111)))</formula>
    </cfRule>
  </conditionalFormatting>
  <conditionalFormatting sqref="J112">
    <cfRule type="containsText" priority="139" dxfId="273" operator="containsText" text="ложь">
      <formula>NOT(ISERROR(SEARCH("ложь",J112)))</formula>
    </cfRule>
  </conditionalFormatting>
  <conditionalFormatting sqref="J113">
    <cfRule type="containsText" priority="138" dxfId="273" operator="containsText" text="ложь">
      <formula>NOT(ISERROR(SEARCH("ложь",J113)))</formula>
    </cfRule>
  </conditionalFormatting>
  <conditionalFormatting sqref="J118">
    <cfRule type="containsText" priority="137" dxfId="273" operator="containsText" text="ложь">
      <formula>NOT(ISERROR(SEARCH("ложь",J118)))</formula>
    </cfRule>
  </conditionalFormatting>
  <conditionalFormatting sqref="J119">
    <cfRule type="containsText" priority="136" dxfId="273" operator="containsText" text="ложь">
      <formula>NOT(ISERROR(SEARCH("ложь",J119)))</formula>
    </cfRule>
  </conditionalFormatting>
  <conditionalFormatting sqref="J120">
    <cfRule type="containsText" priority="135" dxfId="273" operator="containsText" text="ложь">
      <formula>NOT(ISERROR(SEARCH("ложь",J120)))</formula>
    </cfRule>
  </conditionalFormatting>
  <conditionalFormatting sqref="J121">
    <cfRule type="containsText" priority="134" dxfId="273" operator="containsText" text="ложь">
      <formula>NOT(ISERROR(SEARCH("ложь",J121)))</formula>
    </cfRule>
  </conditionalFormatting>
  <conditionalFormatting sqref="J122">
    <cfRule type="containsText" priority="133" dxfId="273" operator="containsText" text="ложь">
      <formula>NOT(ISERROR(SEARCH("ложь",J122)))</formula>
    </cfRule>
  </conditionalFormatting>
  <conditionalFormatting sqref="J125">
    <cfRule type="containsText" priority="131" dxfId="273" operator="containsText" text="ложь">
      <formula>NOT(ISERROR(SEARCH("ложь",J125)))</formula>
    </cfRule>
  </conditionalFormatting>
  <conditionalFormatting sqref="J126">
    <cfRule type="containsText" priority="130" dxfId="273" operator="containsText" text="ложь">
      <formula>NOT(ISERROR(SEARCH("ложь",J126)))</formula>
    </cfRule>
  </conditionalFormatting>
  <conditionalFormatting sqref="H58">
    <cfRule type="containsText" priority="76" dxfId="273" operator="containsText" text="ложь">
      <formula>NOT(ISERROR(SEARCH("ложь",H58)))</formula>
    </cfRule>
  </conditionalFormatting>
  <conditionalFormatting sqref="H59">
    <cfRule type="containsText" priority="75" dxfId="273" operator="containsText" text="ложь">
      <formula>NOT(ISERROR(SEARCH("ложь",H59)))</formula>
    </cfRule>
  </conditionalFormatting>
  <conditionalFormatting sqref="H23:H24 I49 I45 H26:H27 I42 H56 H29 H69 I36:I39 H32:I32 H48:H50 H60:H63 I23:I26">
    <cfRule type="containsText" priority="94" dxfId="273" operator="containsText" text="ложь">
      <formula>NOT(ISERROR(SEARCH("ложь",H23)))</formula>
    </cfRule>
  </conditionalFormatting>
  <conditionalFormatting sqref="H25">
    <cfRule type="containsText" priority="87" dxfId="273" operator="containsText" text="ложь">
      <formula>NOT(ISERROR(SEARCH("ложь",H25)))</formula>
    </cfRule>
  </conditionalFormatting>
  <conditionalFormatting sqref="H28">
    <cfRule type="containsText" priority="86" dxfId="273" operator="containsText" text="ложь">
      <formula>NOT(ISERROR(SEARCH("ложь",H28)))</formula>
    </cfRule>
  </conditionalFormatting>
  <conditionalFormatting sqref="H30">
    <cfRule type="containsText" priority="85" dxfId="273" operator="containsText" text="ложь">
      <formula>NOT(ISERROR(SEARCH("ложь",H30)))</formula>
    </cfRule>
  </conditionalFormatting>
  <conditionalFormatting sqref="H31">
    <cfRule type="containsText" priority="84" dxfId="273" operator="containsText" text="ложь">
      <formula>NOT(ISERROR(SEARCH("ложь",H31)))</formula>
    </cfRule>
  </conditionalFormatting>
  <conditionalFormatting sqref="I40">
    <cfRule type="containsText" priority="83" dxfId="273" operator="containsText" text="ложь">
      <formula>NOT(ISERROR(SEARCH("ложь",I40)))</formula>
    </cfRule>
  </conditionalFormatting>
  <conditionalFormatting sqref="H51">
    <cfRule type="containsText" priority="82" dxfId="273" operator="containsText" text="ложь">
      <formula>NOT(ISERROR(SEARCH("ложь",H51)))</formula>
    </cfRule>
  </conditionalFormatting>
  <conditionalFormatting sqref="H52">
    <cfRule type="containsText" priority="81" dxfId="273" operator="containsText" text="ложь">
      <formula>NOT(ISERROR(SEARCH("ложь",H52)))</formula>
    </cfRule>
  </conditionalFormatting>
  <conditionalFormatting sqref="H53">
    <cfRule type="containsText" priority="80" dxfId="273" operator="containsText" text="ложь">
      <formula>NOT(ISERROR(SEARCH("ложь",H53)))</formula>
    </cfRule>
  </conditionalFormatting>
  <conditionalFormatting sqref="H55">
    <cfRule type="containsText" priority="79" dxfId="273" operator="containsText" text="ложь">
      <formula>NOT(ISERROR(SEARCH("ложь",H55)))</formula>
    </cfRule>
  </conditionalFormatting>
  <conditionalFormatting sqref="H54">
    <cfRule type="containsText" priority="78" dxfId="273" operator="containsText" text="ложь">
      <formula>NOT(ISERROR(SEARCH("ложь",H54)))</formula>
    </cfRule>
  </conditionalFormatting>
  <conditionalFormatting sqref="H57">
    <cfRule type="containsText" priority="77" dxfId="273" operator="containsText" text="ложь">
      <formula>NOT(ISERROR(SEARCH("ложь",H57)))</formula>
    </cfRule>
  </conditionalFormatting>
  <conditionalFormatting sqref="J42 J49 J45 J36:J39">
    <cfRule type="containsText" priority="52" dxfId="273" operator="containsText" text="ложь">
      <formula>NOT(ISERROR(SEARCH("ложь",J36)))</formula>
    </cfRule>
  </conditionalFormatting>
  <conditionalFormatting sqref="J40">
    <cfRule type="containsText" priority="51" dxfId="273" operator="containsText" text="ложь">
      <formula>NOT(ISERROR(SEARCH("ложь",J40)))</formula>
    </cfRule>
  </conditionalFormatting>
  <conditionalFormatting sqref="J41">
    <cfRule type="containsText" priority="50" dxfId="273" operator="containsText" text="ложь">
      <formula>NOT(ISERROR(SEARCH("ложь",J41)))</formula>
    </cfRule>
  </conditionalFormatting>
  <conditionalFormatting sqref="J46">
    <cfRule type="containsText" priority="49" dxfId="273" operator="containsText" text="ложь">
      <formula>NOT(ISERROR(SEARCH("ложь",J46)))</formula>
    </cfRule>
  </conditionalFormatting>
  <conditionalFormatting sqref="J43">
    <cfRule type="containsText" priority="48" dxfId="273" operator="containsText" text="ложь">
      <formula>NOT(ISERROR(SEARCH("ложь",J43)))</formula>
    </cfRule>
  </conditionalFormatting>
  <conditionalFormatting sqref="J44">
    <cfRule type="containsText" priority="47" dxfId="273" operator="containsText" text="ложь">
      <formula>NOT(ISERROR(SEARCH("ложь",J44)))</formula>
    </cfRule>
  </conditionalFormatting>
  <conditionalFormatting sqref="J48">
    <cfRule type="containsText" priority="46" dxfId="273" operator="containsText" text="ложь">
      <formula>NOT(ISERROR(SEARCH("ложь",J48)))</formula>
    </cfRule>
  </conditionalFormatting>
  <conditionalFormatting sqref="J47">
    <cfRule type="containsText" priority="45" dxfId="273" operator="containsText" text="ложь">
      <formula>NOT(ISERROR(SEARCH("ложь",J47)))</formula>
    </cfRule>
  </conditionalFormatting>
  <conditionalFormatting sqref="N39 N44 N35:N36">
    <cfRule type="containsText" priority="44" dxfId="273" operator="containsText" text="ложь">
      <formula>NOT(ISERROR(SEARCH("ложь",N35)))</formula>
    </cfRule>
  </conditionalFormatting>
  <conditionalFormatting sqref="N38">
    <cfRule type="containsText" priority="43" dxfId="273" operator="containsText" text="ложь">
      <formula>NOT(ISERROR(SEARCH("ложь",N38)))</formula>
    </cfRule>
  </conditionalFormatting>
  <conditionalFormatting sqref="N37">
    <cfRule type="containsText" priority="42" dxfId="273" operator="containsText" text="ложь">
      <formula>NOT(ISERROR(SEARCH("ложь",N37)))</formula>
    </cfRule>
  </conditionalFormatting>
  <conditionalFormatting sqref="N40">
    <cfRule type="containsText" priority="41" dxfId="273" operator="containsText" text="ложь">
      <formula>NOT(ISERROR(SEARCH("ложь",N40)))</formula>
    </cfRule>
  </conditionalFormatting>
  <conditionalFormatting sqref="N43">
    <cfRule type="containsText" priority="40" dxfId="273" operator="containsText" text="ложь">
      <formula>NOT(ISERROR(SEARCH("ложь",N43)))</formula>
    </cfRule>
  </conditionalFormatting>
  <conditionalFormatting sqref="N41:N42">
    <cfRule type="containsText" priority="39" dxfId="273" operator="containsText" text="ложь">
      <formula>NOT(ISERROR(SEARCH("ложь",N41)))</formula>
    </cfRule>
  </conditionalFormatting>
  <conditionalFormatting sqref="M35:M36 M38:M39 M41 M44">
    <cfRule type="containsText" priority="38" dxfId="273" operator="containsText" text="ложь">
      <formula>NOT(ISERROR(SEARCH("ложь",M35)))</formula>
    </cfRule>
  </conditionalFormatting>
  <conditionalFormatting sqref="M37">
    <cfRule type="containsText" priority="37" dxfId="273" operator="containsText" text="ложь">
      <formula>NOT(ISERROR(SEARCH("ложь",M37)))</formula>
    </cfRule>
  </conditionalFormatting>
  <conditionalFormatting sqref="M40">
    <cfRule type="containsText" priority="36" dxfId="273" operator="containsText" text="ложь">
      <formula>NOT(ISERROR(SEARCH("ложь",M40)))</formula>
    </cfRule>
  </conditionalFormatting>
  <conditionalFormatting sqref="M42">
    <cfRule type="containsText" priority="35" dxfId="273" operator="containsText" text="ложь">
      <formula>NOT(ISERROR(SEARCH("ложь",M42)))</formula>
    </cfRule>
  </conditionalFormatting>
  <conditionalFormatting sqref="M43">
    <cfRule type="containsText" priority="34" dxfId="273" operator="containsText" text="ложь">
      <formula>NOT(ISERROR(SEARCH("ложь",M43)))</formula>
    </cfRule>
  </conditionalFormatting>
  <conditionalFormatting sqref="I60:I63">
    <cfRule type="containsText" priority="33" dxfId="273" operator="containsText" text="ложь">
      <formula>NOT(ISERROR(SEARCH("ложь",I60)))</formula>
    </cfRule>
  </conditionalFormatting>
  <conditionalFormatting sqref="I64">
    <cfRule type="containsText" priority="32" dxfId="273" operator="containsText" text="ложь">
      <formula>NOT(ISERROR(SEARCH("ложь",I64)))</formula>
    </cfRule>
  </conditionalFormatting>
  <conditionalFormatting sqref="I65">
    <cfRule type="containsText" priority="31" dxfId="273" operator="containsText" text="ложь">
      <formula>NOT(ISERROR(SEARCH("ложь",I65)))</formula>
    </cfRule>
  </conditionalFormatting>
  <conditionalFormatting sqref="I66">
    <cfRule type="containsText" priority="30" dxfId="273" operator="containsText" text="ложь">
      <formula>NOT(ISERROR(SEARCH("ложь",I66)))</formula>
    </cfRule>
  </conditionalFormatting>
  <conditionalFormatting sqref="I67">
    <cfRule type="containsText" priority="29" dxfId="273" operator="containsText" text="ложь">
      <formula>NOT(ISERROR(SEARCH("ложь",I67)))</formula>
    </cfRule>
  </conditionalFormatting>
  <conditionalFormatting sqref="I68">
    <cfRule type="containsText" priority="28" dxfId="273" operator="containsText" text="ложь">
      <formula>NOT(ISERROR(SEARCH("ложь",I68)))</formula>
    </cfRule>
  </conditionalFormatting>
  <conditionalFormatting sqref="J60:J61">
    <cfRule type="containsText" priority="24" dxfId="273" operator="containsText" text="ложь">
      <formula>NOT(ISERROR(SEARCH("ложь",J60)))</formula>
    </cfRule>
  </conditionalFormatting>
  <conditionalFormatting sqref="J62:J64">
    <cfRule type="containsText" priority="23" dxfId="273" operator="containsText" text="ложь">
      <formula>NOT(ISERROR(SEARCH("ложь",J62)))</formula>
    </cfRule>
  </conditionalFormatting>
  <conditionalFormatting sqref="J65:J66">
    <cfRule type="containsText" priority="22" dxfId="273" operator="containsText" text="ложь">
      <formula>NOT(ISERROR(SEARCH("ложь",J65)))</formula>
    </cfRule>
  </conditionalFormatting>
  <conditionalFormatting sqref="J67">
    <cfRule type="containsText" priority="21" dxfId="273" operator="containsText" text="ложь">
      <formula>NOT(ISERROR(SEARCH("ложь",J67)))</formula>
    </cfRule>
  </conditionalFormatting>
  <conditionalFormatting sqref="J68">
    <cfRule type="containsText" priority="20" dxfId="273" operator="containsText" text="ложь">
      <formula>NOT(ISERROR(SEARCH("ложь",J68)))</formula>
    </cfRule>
  </conditionalFormatting>
  <conditionalFormatting sqref="J71">
    <cfRule type="containsText" priority="17" dxfId="273" operator="containsText" text="ложь">
      <formula>NOT(ISERROR(SEARCH("ложь",J71)))</formula>
    </cfRule>
  </conditionalFormatting>
  <conditionalFormatting sqref="J69">
    <cfRule type="containsText" priority="19" dxfId="273" operator="containsText" text="ложь">
      <formula>NOT(ISERROR(SEARCH("ложь",J69)))</formula>
    </cfRule>
  </conditionalFormatting>
  <conditionalFormatting sqref="J70 J72">
    <cfRule type="containsText" priority="18" dxfId="273" operator="containsText" text="ложь">
      <formula>NOT(ISERROR(SEARCH("ложь",J70)))</formula>
    </cfRule>
  </conditionalFormatting>
  <conditionalFormatting sqref="H44 H46">
    <cfRule type="containsText" priority="16" dxfId="273" operator="containsText" text="ложь">
      <formula>NOT(ISERROR(SEARCH("ложь",H44)))</formula>
    </cfRule>
  </conditionalFormatting>
  <conditionalFormatting sqref="H45 H47 H33:H43">
    <cfRule type="containsText" priority="15" dxfId="273" operator="containsText" text="ложь">
      <formula>NOT(ISERROR(SEARCH("ложь",H33)))</formula>
    </cfRule>
  </conditionalFormatting>
  <conditionalFormatting sqref="H8:H12">
    <cfRule type="containsText" priority="14" dxfId="273" operator="containsText" text="ложь">
      <formula>NOT(ISERROR(SEARCH("ложь",H8)))</formula>
    </cfRule>
  </conditionalFormatting>
  <conditionalFormatting sqref="J16 J7:J10">
    <cfRule type="containsText" priority="13" dxfId="273" operator="containsText" text="ложь">
      <formula>NOT(ISERROR(SEARCH("ложь",J7)))</formula>
    </cfRule>
  </conditionalFormatting>
  <conditionalFormatting sqref="J11">
    <cfRule type="containsText" priority="12" dxfId="273" operator="containsText" text="ложь">
      <formula>NOT(ISERROR(SEARCH("ложь",J11)))</formula>
    </cfRule>
  </conditionalFormatting>
  <conditionalFormatting sqref="J12">
    <cfRule type="containsText" priority="11" dxfId="273" operator="containsText" text="ложь">
      <formula>NOT(ISERROR(SEARCH("ложь",J12)))</formula>
    </cfRule>
  </conditionalFormatting>
  <conditionalFormatting sqref="J13">
    <cfRule type="containsText" priority="10" dxfId="273" operator="containsText" text="ложь">
      <formula>NOT(ISERROR(SEARCH("ложь",J13)))</formula>
    </cfRule>
  </conditionalFormatting>
  <conditionalFormatting sqref="J14">
    <cfRule type="containsText" priority="9" dxfId="273" operator="containsText" text="ложь">
      <formula>NOT(ISERROR(SEARCH("ложь",J14)))</formula>
    </cfRule>
  </conditionalFormatting>
  <conditionalFormatting sqref="J15">
    <cfRule type="containsText" priority="8" dxfId="273" operator="containsText" text="ложь">
      <formula>NOT(ISERROR(SEARCH("ложь",J15)))</formula>
    </cfRule>
  </conditionalFormatting>
  <conditionalFormatting sqref="J17">
    <cfRule type="containsText" priority="7" dxfId="273" operator="containsText" text="ложь">
      <formula>NOT(ISERROR(SEARCH("ложь",J17)))</formula>
    </cfRule>
  </conditionalFormatting>
  <conditionalFormatting sqref="J18">
    <cfRule type="containsText" priority="6" dxfId="273" operator="containsText" text="ложь">
      <formula>NOT(ISERROR(SEARCH("ложь",J18)))</formula>
    </cfRule>
  </conditionalFormatting>
  <conditionalFormatting sqref="J19">
    <cfRule type="containsText" priority="5" dxfId="273" operator="containsText" text="ложь">
      <formula>NOT(ISERROR(SEARCH("ложь",J19)))</formula>
    </cfRule>
  </conditionalFormatting>
  <conditionalFormatting sqref="I69:I80 I83:I84">
    <cfRule type="containsText" priority="4" dxfId="273" operator="containsText" text="ложь">
      <formula>NOT(ISERROR(SEARCH("ложь",I69)))</formula>
    </cfRule>
  </conditionalFormatting>
  <conditionalFormatting sqref="I81:I82">
    <cfRule type="containsText" priority="3" dxfId="273" operator="containsText" text="ложь">
      <formula>NOT(ISERROR(SEARCH("ложь",I81)))</formula>
    </cfRule>
  </conditionalFormatting>
  <conditionalFormatting sqref="I145:I149 I152:I153">
    <cfRule type="containsText" priority="2" dxfId="273" operator="containsText" text="ложь">
      <formula>NOT(ISERROR(SEARCH("ложь",I145)))</formula>
    </cfRule>
  </conditionalFormatting>
  <conditionalFormatting sqref="I150:I151">
    <cfRule type="containsText" priority="1" dxfId="273" operator="containsText" text="ложь">
      <formula>NOT(ISERROR(SEARCH("ложь",I150)))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2"/>
  <sheetViews>
    <sheetView zoomScale="86" zoomScaleNormal="86" zoomScalePageLayoutView="0" workbookViewId="0" topLeftCell="A1">
      <selection activeCell="F36" sqref="F36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9.140625" style="1" customWidth="1"/>
    <col min="8" max="8" width="13.57421875" style="195" customWidth="1"/>
    <col min="9" max="12" width="13.57421875" style="208" customWidth="1"/>
    <col min="13" max="16" width="9.140625" style="208" customWidth="1"/>
    <col min="17" max="17" width="9.140625" style="195" customWidth="1"/>
    <col min="18" max="16384" width="9.140625" style="1" customWidth="1"/>
  </cols>
  <sheetData>
    <row r="1" spans="1:17" s="12" customFormat="1" ht="15.75">
      <c r="A1" s="9" t="s">
        <v>53</v>
      </c>
      <c r="B1" s="13"/>
      <c r="C1" s="14"/>
      <c r="D1" s="14"/>
      <c r="E1" s="14"/>
      <c r="F1" s="14"/>
      <c r="H1" s="5"/>
      <c r="I1" s="206"/>
      <c r="J1" s="206"/>
      <c r="K1" s="206"/>
      <c r="L1" s="206"/>
      <c r="M1" s="206"/>
      <c r="N1" s="206"/>
      <c r="O1" s="206"/>
      <c r="P1" s="206"/>
      <c r="Q1" s="5"/>
    </row>
    <row r="2" spans="1:17" s="3" customFormat="1" ht="15.75" customHeight="1">
      <c r="A2" s="16" t="s">
        <v>37</v>
      </c>
      <c r="B2" s="11"/>
      <c r="C2" s="11"/>
      <c r="D2" s="11"/>
      <c r="E2" s="11"/>
      <c r="F2" s="11"/>
      <c r="H2" s="4"/>
      <c r="I2" s="11"/>
      <c r="J2" s="11"/>
      <c r="K2" s="11"/>
      <c r="L2" s="11"/>
      <c r="M2" s="11"/>
      <c r="N2" s="11"/>
      <c r="O2" s="11"/>
      <c r="P2" s="11"/>
      <c r="Q2" s="4"/>
    </row>
    <row r="3" spans="1:17" s="3" customFormat="1" ht="15.75" customHeight="1" thickBot="1">
      <c r="A3" s="6"/>
      <c r="B3" s="10"/>
      <c r="C3" s="10"/>
      <c r="D3" s="10"/>
      <c r="E3" s="10"/>
      <c r="F3" s="10"/>
      <c r="H3" s="4"/>
      <c r="I3" s="11"/>
      <c r="J3" s="11"/>
      <c r="K3" s="11"/>
      <c r="L3" s="11"/>
      <c r="M3" s="11"/>
      <c r="N3" s="11"/>
      <c r="O3" s="11"/>
      <c r="P3" s="11"/>
      <c r="Q3" s="4"/>
    </row>
    <row r="4" spans="1:17" s="2" customFormat="1" ht="15.75" customHeight="1" thickBot="1">
      <c r="A4" s="7"/>
      <c r="B4" s="256" t="s">
        <v>54</v>
      </c>
      <c r="C4" s="257"/>
      <c r="D4" s="257"/>
      <c r="E4" s="257"/>
      <c r="F4" s="258"/>
      <c r="H4" s="196"/>
      <c r="I4" s="207"/>
      <c r="J4" s="207"/>
      <c r="K4" s="207"/>
      <c r="L4" s="207"/>
      <c r="M4" s="207"/>
      <c r="N4" s="207"/>
      <c r="O4" s="207"/>
      <c r="P4" s="207"/>
      <c r="Q4" s="196"/>
    </row>
    <row r="5" spans="1:17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  <c r="H5" s="196"/>
      <c r="I5" s="207"/>
      <c r="J5" s="207"/>
      <c r="K5" s="207"/>
      <c r="L5" s="207"/>
      <c r="M5" s="207"/>
      <c r="N5" s="207"/>
      <c r="O5" s="207"/>
      <c r="P5" s="207"/>
      <c r="Q5" s="196"/>
    </row>
    <row r="6" spans="1:17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H6" s="196"/>
      <c r="I6" s="207"/>
      <c r="J6" s="207"/>
      <c r="K6" s="207"/>
      <c r="L6" s="207"/>
      <c r="M6" s="207"/>
      <c r="N6" s="207"/>
      <c r="O6" s="207"/>
      <c r="P6" s="207"/>
      <c r="Q6" s="196"/>
    </row>
    <row r="7" spans="1:6" ht="18.75" customHeight="1" thickBot="1">
      <c r="A7" s="54" t="s">
        <v>31</v>
      </c>
      <c r="B7" s="44">
        <f aca="true" t="shared" si="0" ref="B7:F15">B31+B47+B60+B73+B86+B99+B112+B125+B138+B151+B164+B177+B190</f>
        <v>98.78343099999998</v>
      </c>
      <c r="C7" s="45">
        <f t="shared" si="0"/>
        <v>31.289489999999994</v>
      </c>
      <c r="D7" s="45">
        <f t="shared" si="0"/>
        <v>0.662874</v>
      </c>
      <c r="E7" s="46">
        <f t="shared" si="0"/>
        <v>27.149388000000005</v>
      </c>
      <c r="F7" s="46">
        <f>F8+F16+F20+F17</f>
        <v>39.681678999999995</v>
      </c>
    </row>
    <row r="8" spans="1:6" ht="13.5">
      <c r="A8" s="55" t="s">
        <v>10</v>
      </c>
      <c r="B8" s="17">
        <f>SUM(C8:F8)</f>
        <v>30.805737999999995</v>
      </c>
      <c r="C8" s="18">
        <f>C9+C10+C11+C12+C13+C14+C15</f>
        <v>0.066596</v>
      </c>
      <c r="D8" s="18">
        <f>D9+D10+D11+D12+D13+D14+D15</f>
        <v>0.00065</v>
      </c>
      <c r="E8" s="18">
        <f>E9+E10+E11+E12+E13+E14+E15</f>
        <v>1.9260719999999998</v>
      </c>
      <c r="F8" s="19">
        <f>F9+F10+F11+F12+F13+F14+F15</f>
        <v>28.812419999999996</v>
      </c>
    </row>
    <row r="9" spans="1:6" ht="12.75">
      <c r="A9" s="56" t="s">
        <v>4</v>
      </c>
      <c r="B9" s="20">
        <f>SUM(C9:F9)</f>
        <v>11.065773999999998</v>
      </c>
      <c r="C9" s="21">
        <f>C33+C49+C62+C75+C88+C101+C114+C127+C140+C153+C166+C179+C192</f>
        <v>0.003475</v>
      </c>
      <c r="D9" s="21">
        <f t="shared" si="0"/>
        <v>0</v>
      </c>
      <c r="E9" s="21">
        <f t="shared" si="0"/>
        <v>0.963345</v>
      </c>
      <c r="F9" s="22">
        <f t="shared" si="0"/>
        <v>10.098953999999997</v>
      </c>
    </row>
    <row r="10" spans="1:6" ht="12.75">
      <c r="A10" s="56" t="s">
        <v>11</v>
      </c>
      <c r="B10" s="20">
        <f>SUM(C10:F10)</f>
        <v>0.816335</v>
      </c>
      <c r="C10" s="21">
        <f t="shared" si="0"/>
        <v>0</v>
      </c>
      <c r="D10" s="21">
        <f t="shared" si="0"/>
        <v>0</v>
      </c>
      <c r="E10" s="21">
        <f t="shared" si="0"/>
        <v>0.42870600000000003</v>
      </c>
      <c r="F10" s="22">
        <f t="shared" si="0"/>
        <v>0.387629</v>
      </c>
    </row>
    <row r="11" spans="1:6" ht="12.75">
      <c r="A11" s="56" t="s">
        <v>5</v>
      </c>
      <c r="B11" s="20">
        <f>SUM(C11:F11)</f>
        <v>18.598491</v>
      </c>
      <c r="C11" s="21">
        <f t="shared" si="0"/>
        <v>0.014302</v>
      </c>
      <c r="D11" s="21">
        <f t="shared" si="0"/>
        <v>0.00065</v>
      </c>
      <c r="E11" s="21">
        <f t="shared" si="0"/>
        <v>0.304656</v>
      </c>
      <c r="F11" s="22">
        <f t="shared" si="0"/>
        <v>18.278883</v>
      </c>
    </row>
    <row r="12" spans="1:6" ht="12.75">
      <c r="A12" s="56" t="s">
        <v>23</v>
      </c>
      <c r="B12" s="20">
        <f aca="true" t="shared" si="1" ref="B12:B22">SUM(C12:F12)</f>
        <v>0.008776</v>
      </c>
      <c r="C12" s="21">
        <f t="shared" si="0"/>
        <v>0</v>
      </c>
      <c r="D12" s="21">
        <f t="shared" si="0"/>
        <v>0</v>
      </c>
      <c r="E12" s="21">
        <f t="shared" si="0"/>
        <v>0.008776</v>
      </c>
      <c r="F12" s="22">
        <f t="shared" si="0"/>
        <v>0</v>
      </c>
    </row>
    <row r="13" spans="1:6" ht="12.75">
      <c r="A13" s="56" t="s">
        <v>24</v>
      </c>
      <c r="B13" s="20">
        <f t="shared" si="1"/>
        <v>0.156391</v>
      </c>
      <c r="C13" s="21">
        <f t="shared" si="0"/>
        <v>0</v>
      </c>
      <c r="D13" s="21">
        <f t="shared" si="0"/>
        <v>0</v>
      </c>
      <c r="E13" s="21">
        <f t="shared" si="0"/>
        <v>0.118145</v>
      </c>
      <c r="F13" s="22">
        <f t="shared" si="0"/>
        <v>0.038246</v>
      </c>
    </row>
    <row r="14" spans="1:11" ht="12.75">
      <c r="A14" s="56" t="s">
        <v>25</v>
      </c>
      <c r="B14" s="20">
        <f t="shared" si="1"/>
        <v>0.144279</v>
      </c>
      <c r="C14" s="21">
        <f t="shared" si="0"/>
        <v>0.046386</v>
      </c>
      <c r="D14" s="21">
        <f t="shared" si="0"/>
        <v>0</v>
      </c>
      <c r="E14" s="21">
        <f t="shared" si="0"/>
        <v>0.092364</v>
      </c>
      <c r="F14" s="22">
        <f t="shared" si="0"/>
        <v>0.005529</v>
      </c>
      <c r="J14" s="209"/>
      <c r="K14" s="209"/>
    </row>
    <row r="15" spans="1:11" ht="12.75">
      <c r="A15" s="56" t="s">
        <v>26</v>
      </c>
      <c r="B15" s="20">
        <f t="shared" si="1"/>
        <v>0.015692</v>
      </c>
      <c r="C15" s="21">
        <f t="shared" si="0"/>
        <v>0.002433</v>
      </c>
      <c r="D15" s="21">
        <f t="shared" si="0"/>
        <v>0</v>
      </c>
      <c r="E15" s="21">
        <f t="shared" si="0"/>
        <v>0.01008</v>
      </c>
      <c r="F15" s="22">
        <f t="shared" si="0"/>
        <v>0.003179</v>
      </c>
      <c r="J15" s="209"/>
      <c r="K15" s="209"/>
    </row>
    <row r="16" spans="1:11" ht="13.5">
      <c r="A16" s="55" t="s">
        <v>0</v>
      </c>
      <c r="B16" s="23">
        <f t="shared" si="1"/>
        <v>43.13752699999999</v>
      </c>
      <c r="C16" s="202">
        <f>C40+C56+C69+C82+C95+C108+C121+C134+C147+C160+C173+C186+C199</f>
        <v>17.225865999999996</v>
      </c>
      <c r="D16" s="202">
        <f>D40+D56+D69+D82+D95+D108+D121+D134+D147+D160+D173+D186+D199</f>
        <v>0.5534979999999999</v>
      </c>
      <c r="E16" s="202">
        <f>E40+E56+E69+E82+E95+E108+E121+E134+E147+E160+E173+E186+E199</f>
        <v>15.723066999999999</v>
      </c>
      <c r="F16" s="203">
        <f>F40+F56+F69+F82+F95+F108+F121+F134+F147+F160+F173+F186+F199</f>
        <v>9.635096</v>
      </c>
      <c r="J16" s="209"/>
      <c r="K16" s="209"/>
    </row>
    <row r="17" spans="1:11" ht="13.5">
      <c r="A17" s="55" t="s">
        <v>12</v>
      </c>
      <c r="B17" s="23">
        <f t="shared" si="1"/>
        <v>23.463601</v>
      </c>
      <c r="C17" s="24">
        <f>C41+C57+C70+C83+C96+C109+C122+C135+C148+C161+C174+C187+C200</f>
        <v>12.620462999999999</v>
      </c>
      <c r="D17" s="24">
        <f>D41+D57+D70+D83+D96+D109+D122+D135+D148+D161+D174+D187+D200</f>
        <v>0.108726</v>
      </c>
      <c r="E17" s="24">
        <f>E41+E57+E70+E83+E96+E109+E122+E135+E148+E161+E174+E187+E200</f>
        <v>9.500249</v>
      </c>
      <c r="F17" s="25">
        <f>F41+F57+F70+F83+F96+F109+F122+F135+F148+F161+F174+F187+F200</f>
        <v>1.234163</v>
      </c>
      <c r="K17" s="209"/>
    </row>
    <row r="18" spans="1:11" ht="13.5">
      <c r="A18" s="56" t="s">
        <v>13</v>
      </c>
      <c r="B18" s="204">
        <f t="shared" si="1"/>
        <v>23.463601</v>
      </c>
      <c r="C18" s="24">
        <f>C42+C58+C71+C84+C97+C110+C123+C136+C149+C162+C175+C188+C201</f>
        <v>12.620462999999999</v>
      </c>
      <c r="D18" s="24">
        <f>D42+D58+D71+D84+D97+D110+D123+D136+D149+D162+D175+D188+D201</f>
        <v>0.108726</v>
      </c>
      <c r="E18" s="24">
        <f>E42+E58+E71+E84+E97+E110+E123+E136+E149+E162+E175+E188+E201</f>
        <v>9.500249</v>
      </c>
      <c r="F18" s="25">
        <f>F42+F58+F71+F84+F97+F110+F123+F136+F149+F162+F175+F188+F201</f>
        <v>1.234163</v>
      </c>
      <c r="K18" s="209"/>
    </row>
    <row r="19" spans="1:11" ht="12.75">
      <c r="A19" s="57" t="s">
        <v>14</v>
      </c>
      <c r="B19" s="58">
        <f>SUM(C19:F19)</f>
        <v>34.495</v>
      </c>
      <c r="C19" s="21">
        <f>C43+C59+C72+C85+C98+C111+C124+C137+C150+C163+C176+C189+C202</f>
        <v>17.139000000000003</v>
      </c>
      <c r="D19" s="21">
        <f>D43+D59+D72+D85+D98+D111+D124+D137+D150+D163+D176+D189+D202</f>
        <v>0.194</v>
      </c>
      <c r="E19" s="21">
        <f>E43+E59+E72+E85+E98+E111+E124+E137+E150+E163+E176+E189+E202</f>
        <v>14.222999999999999</v>
      </c>
      <c r="F19" s="22">
        <f>F43+F59+F72+F85+F98+F111+F124+F137+F150+F163+F176+F189+F202</f>
        <v>2.9389999999999996</v>
      </c>
      <c r="K19" s="209"/>
    </row>
    <row r="20" spans="1:11" ht="13.5">
      <c r="A20" s="55" t="s">
        <v>15</v>
      </c>
      <c r="B20" s="23">
        <f t="shared" si="1"/>
        <v>1.376565</v>
      </c>
      <c r="C20" s="24">
        <f>C21</f>
        <v>1.376565</v>
      </c>
      <c r="D20" s="26"/>
      <c r="E20" s="26"/>
      <c r="F20" s="27"/>
      <c r="K20" s="209"/>
    </row>
    <row r="21" spans="1:11" ht="12.75">
      <c r="A21" s="56" t="s">
        <v>13</v>
      </c>
      <c r="B21" s="20">
        <f t="shared" si="1"/>
        <v>1.376565</v>
      </c>
      <c r="C21" s="21">
        <f>C45</f>
        <v>1.376565</v>
      </c>
      <c r="D21" s="28"/>
      <c r="E21" s="28"/>
      <c r="F21" s="29"/>
      <c r="K21" s="209"/>
    </row>
    <row r="22" spans="1:11" ht="12.75">
      <c r="A22" s="60" t="s">
        <v>16</v>
      </c>
      <c r="B22" s="58">
        <f t="shared" si="1"/>
        <v>2.863</v>
      </c>
      <c r="C22" s="59">
        <f>C46</f>
        <v>2.863</v>
      </c>
      <c r="D22" s="30"/>
      <c r="E22" s="30"/>
      <c r="F22" s="31"/>
      <c r="K22" s="209"/>
    </row>
    <row r="23" spans="1:11" ht="13.5">
      <c r="A23" s="55" t="s">
        <v>32</v>
      </c>
      <c r="B23" s="23">
        <f>SUM(C23:F23)</f>
        <v>2.194309</v>
      </c>
      <c r="C23" s="24">
        <f>C24</f>
        <v>2.194309</v>
      </c>
      <c r="D23" s="26">
        <f>D24</f>
        <v>0</v>
      </c>
      <c r="E23" s="26">
        <f>E24</f>
        <v>0</v>
      </c>
      <c r="F23" s="27">
        <f>F24</f>
        <v>0</v>
      </c>
      <c r="K23" s="209"/>
    </row>
    <row r="24" spans="1:11" ht="12.75">
      <c r="A24" s="56" t="s">
        <v>13</v>
      </c>
      <c r="B24" s="20">
        <f>SUM(C24:F24)</f>
        <v>2.194309</v>
      </c>
      <c r="C24" s="21">
        <f>C58</f>
        <v>2.194309</v>
      </c>
      <c r="D24" s="28"/>
      <c r="E24" s="28"/>
      <c r="F24" s="29"/>
      <c r="K24" s="209"/>
    </row>
    <row r="25" spans="1:11" ht="12.75" customHeight="1" thickBot="1">
      <c r="A25" s="61" t="s">
        <v>14</v>
      </c>
      <c r="B25" s="32">
        <f>SUM(C25:F25)</f>
        <v>4.725</v>
      </c>
      <c r="C25" s="62">
        <f>C59</f>
        <v>4.725</v>
      </c>
      <c r="D25" s="33"/>
      <c r="E25" s="33"/>
      <c r="F25" s="34"/>
      <c r="K25" s="209"/>
    </row>
    <row r="26" spans="1:10" ht="12.75" customHeight="1" hidden="1" thickBot="1">
      <c r="A26" s="88"/>
      <c r="B26" s="89"/>
      <c r="C26" s="90"/>
      <c r="D26" s="91"/>
      <c r="E26" s="91"/>
      <c r="F26" s="92"/>
      <c r="J26" s="209"/>
    </row>
    <row r="27" spans="1:10" ht="12.75" customHeight="1" hidden="1" thickBot="1">
      <c r="A27" s="93"/>
      <c r="B27" s="94"/>
      <c r="C27" s="95"/>
      <c r="D27" s="96"/>
      <c r="E27" s="96"/>
      <c r="F27" s="97"/>
      <c r="J27" s="209"/>
    </row>
    <row r="28" spans="1:10" ht="12.75" customHeight="1" hidden="1" thickBot="1">
      <c r="A28" s="98"/>
      <c r="B28" s="99"/>
      <c r="C28" s="100"/>
      <c r="D28" s="101"/>
      <c r="E28" s="101"/>
      <c r="F28" s="102"/>
      <c r="J28" s="209"/>
    </row>
    <row r="29" spans="1:10" ht="12.75" customHeight="1" hidden="1" thickBot="1">
      <c r="A29" s="103"/>
      <c r="B29" s="104"/>
      <c r="C29" s="105"/>
      <c r="D29" s="106"/>
      <c r="E29" s="107"/>
      <c r="F29" s="108"/>
      <c r="J29" s="210"/>
    </row>
    <row r="30" spans="1:6" ht="12.75" customHeight="1" hidden="1" thickBot="1">
      <c r="A30" s="109"/>
      <c r="B30" s="110"/>
      <c r="C30" s="111"/>
      <c r="D30" s="112"/>
      <c r="E30" s="112"/>
      <c r="F30" s="113"/>
    </row>
    <row r="31" spans="1:6" ht="13.5" customHeight="1" thickBot="1">
      <c r="A31" s="63" t="s">
        <v>39</v>
      </c>
      <c r="B31" s="114">
        <f>SUM(C31:F31)</f>
        <v>59.560323</v>
      </c>
      <c r="C31" s="115">
        <f>C32+C40+C44+C41</f>
        <v>14.769071999999998</v>
      </c>
      <c r="D31" s="115">
        <f>D32+D40+D44+D41</f>
        <v>0.508743</v>
      </c>
      <c r="E31" s="115">
        <f>E32+E40+E44+E41</f>
        <v>18.029771</v>
      </c>
      <c r="F31" s="116">
        <f>F32+F40+F44+F41</f>
        <v>26.252737</v>
      </c>
    </row>
    <row r="32" spans="1:6" ht="12.75" customHeight="1">
      <c r="A32" s="55" t="s">
        <v>10</v>
      </c>
      <c r="B32" s="117">
        <f>SUM(C32:F32)</f>
        <v>19.489507</v>
      </c>
      <c r="C32" s="118">
        <f>C33+C34+C35+C36+C37+C38+C39</f>
        <v>0.01989</v>
      </c>
      <c r="D32" s="118">
        <f>D33+D34+D35+D36+D37+D38+D39</f>
        <v>0.00065</v>
      </c>
      <c r="E32" s="118">
        <f>E33+E34+E35+E36+E37+E38+E39</f>
        <v>0.578573</v>
      </c>
      <c r="F32" s="194">
        <f>F33+F34+F35+F36+F37+F38+F39</f>
        <v>18.890394</v>
      </c>
    </row>
    <row r="33" spans="1:6" ht="12.75" customHeight="1">
      <c r="A33" s="56" t="s">
        <v>4</v>
      </c>
      <c r="B33" s="121">
        <f>SUM(C33:F33)</f>
        <v>4.748199</v>
      </c>
      <c r="C33" s="122">
        <v>0.003475</v>
      </c>
      <c r="D33" s="122"/>
      <c r="E33" s="122">
        <f>0.011632+0.171033</f>
        <v>0.182665</v>
      </c>
      <c r="F33" s="123">
        <f>4.56058+0.001479</f>
        <v>4.562059</v>
      </c>
    </row>
    <row r="34" spans="1:6" ht="12.75" customHeight="1">
      <c r="A34" s="56" t="s">
        <v>11</v>
      </c>
      <c r="B34" s="121">
        <f>SUM(C34:F34)</f>
        <v>0.057233</v>
      </c>
      <c r="C34" s="122"/>
      <c r="D34" s="122"/>
      <c r="E34" s="122">
        <v>0.01176</v>
      </c>
      <c r="F34" s="123">
        <f>0.043064+0.002409</f>
        <v>0.045473</v>
      </c>
    </row>
    <row r="35" spans="1:6" ht="12.75" customHeight="1">
      <c r="A35" s="56" t="s">
        <v>5</v>
      </c>
      <c r="B35" s="121">
        <f>SUM(C35:F35)</f>
        <v>14.526482999999999</v>
      </c>
      <c r="C35" s="122">
        <f>0.000273+0.014029</f>
        <v>0.014302</v>
      </c>
      <c r="D35" s="122">
        <v>0.00065</v>
      </c>
      <c r="E35" s="122">
        <f>0.037092+0.224659</f>
        <v>0.261751</v>
      </c>
      <c r="F35" s="123">
        <f>14.244047+0.005733</f>
        <v>14.24978</v>
      </c>
    </row>
    <row r="36" spans="1:6" ht="12.75" customHeight="1">
      <c r="A36" s="56" t="s">
        <v>23</v>
      </c>
      <c r="B36" s="121">
        <f>SUM(C36:F36)</f>
        <v>0.008776</v>
      </c>
      <c r="C36" s="122"/>
      <c r="D36" s="122"/>
      <c r="E36" s="122">
        <v>0.008776</v>
      </c>
      <c r="F36" s="123"/>
    </row>
    <row r="37" spans="1:6" ht="12.75" customHeight="1">
      <c r="A37" s="56" t="s">
        <v>24</v>
      </c>
      <c r="B37" s="121">
        <f>SUM(C37:F37)</f>
        <v>0.132177</v>
      </c>
      <c r="C37" s="122"/>
      <c r="D37" s="122"/>
      <c r="E37" s="122">
        <v>0.105289</v>
      </c>
      <c r="F37" s="123">
        <v>0.026888</v>
      </c>
    </row>
    <row r="38" spans="1:6" ht="12.75" customHeight="1">
      <c r="A38" s="56" t="s">
        <v>25</v>
      </c>
      <c r="B38" s="121">
        <f>SUM(C38:F38)</f>
        <v>0.005529</v>
      </c>
      <c r="C38" s="122"/>
      <c r="D38" s="122"/>
      <c r="E38" s="122"/>
      <c r="F38" s="123">
        <v>0.005529</v>
      </c>
    </row>
    <row r="39" spans="1:6" ht="12.75" customHeight="1">
      <c r="A39" s="56" t="s">
        <v>26</v>
      </c>
      <c r="B39" s="121">
        <f>SUM(C39:F39)</f>
        <v>0.011110000000000002</v>
      </c>
      <c r="C39" s="122">
        <v>0.002113</v>
      </c>
      <c r="D39" s="122"/>
      <c r="E39" s="122">
        <v>0.008332</v>
      </c>
      <c r="F39" s="123">
        <v>0.000665</v>
      </c>
    </row>
    <row r="40" spans="1:6" ht="12.75" customHeight="1">
      <c r="A40" s="55" t="s">
        <v>0</v>
      </c>
      <c r="B40" s="124">
        <f aca="true" t="shared" si="2" ref="B40:B51">SUM(C40:F40)</f>
        <v>24.900972</v>
      </c>
      <c r="C40" s="127">
        <f>8.419006+0.316274</f>
        <v>8.73528</v>
      </c>
      <c r="D40" s="127">
        <f>0.387901+0.011466</f>
        <v>0.39936699999999997</v>
      </c>
      <c r="E40" s="127">
        <f>8.443125+0.750349</f>
        <v>9.193474</v>
      </c>
      <c r="F40" s="128">
        <f>6.111704+0.461147</f>
        <v>6.572851</v>
      </c>
    </row>
    <row r="41" spans="1:6" ht="12.75" customHeight="1">
      <c r="A41" s="55" t="s">
        <v>12</v>
      </c>
      <c r="B41" s="124">
        <f t="shared" si="2"/>
        <v>13.793278999999998</v>
      </c>
      <c r="C41" s="127">
        <f>C42</f>
        <v>4.637337</v>
      </c>
      <c r="D41" s="127">
        <f>D42</f>
        <v>0.108726</v>
      </c>
      <c r="E41" s="127">
        <f>E42</f>
        <v>8.257724</v>
      </c>
      <c r="F41" s="128">
        <f>F42</f>
        <v>0.789492</v>
      </c>
    </row>
    <row r="42" spans="1:6" ht="12.75" customHeight="1">
      <c r="A42" s="56" t="s">
        <v>13</v>
      </c>
      <c r="B42" s="121">
        <f t="shared" si="2"/>
        <v>13.793278999999998</v>
      </c>
      <c r="C42" s="122">
        <f>6.013902-C44</f>
        <v>4.637337</v>
      </c>
      <c r="D42" s="130">
        <f>0.108726</f>
        <v>0.108726</v>
      </c>
      <c r="E42" s="127">
        <v>8.257724</v>
      </c>
      <c r="F42" s="131">
        <f>0.726143+0.063349</f>
        <v>0.789492</v>
      </c>
    </row>
    <row r="43" spans="1:6" ht="12.75" customHeight="1">
      <c r="A43" s="57" t="s">
        <v>14</v>
      </c>
      <c r="B43" s="132">
        <f t="shared" si="2"/>
        <v>20.686999999999998</v>
      </c>
      <c r="C43" s="129">
        <f>3.737+2.523</f>
        <v>6.26</v>
      </c>
      <c r="D43" s="133">
        <f>0.194</f>
        <v>0.194</v>
      </c>
      <c r="E43" s="133">
        <v>12.06</v>
      </c>
      <c r="F43" s="134">
        <f>0.715+1.338+0.12</f>
        <v>2.173</v>
      </c>
    </row>
    <row r="44" spans="1:6" ht="12.75" customHeight="1">
      <c r="A44" s="55" t="s">
        <v>15</v>
      </c>
      <c r="B44" s="124">
        <f t="shared" si="2"/>
        <v>1.376565</v>
      </c>
      <c r="C44" s="127">
        <f>C45</f>
        <v>1.376565</v>
      </c>
      <c r="D44" s="125">
        <f>D45</f>
        <v>0</v>
      </c>
      <c r="E44" s="125">
        <f>E45</f>
        <v>0</v>
      </c>
      <c r="F44" s="135">
        <f>F45</f>
        <v>0</v>
      </c>
    </row>
    <row r="45" spans="1:6" ht="12.75" customHeight="1">
      <c r="A45" s="56" t="s">
        <v>13</v>
      </c>
      <c r="B45" s="121">
        <f t="shared" si="2"/>
        <v>1.376565</v>
      </c>
      <c r="C45" s="122">
        <v>1.376565</v>
      </c>
      <c r="D45" s="130"/>
      <c r="E45" s="130"/>
      <c r="F45" s="136"/>
    </row>
    <row r="46" spans="1:6" ht="12.75" customHeight="1" thickBot="1">
      <c r="A46" s="60" t="s">
        <v>14</v>
      </c>
      <c r="B46" s="137">
        <f t="shared" si="2"/>
        <v>2.863</v>
      </c>
      <c r="C46" s="138">
        <v>2.863</v>
      </c>
      <c r="D46" s="139"/>
      <c r="E46" s="139"/>
      <c r="F46" s="140"/>
    </row>
    <row r="47" spans="1:6" ht="12.75" customHeight="1" thickBot="1">
      <c r="A47" s="72" t="s">
        <v>42</v>
      </c>
      <c r="B47" s="141">
        <f t="shared" si="2"/>
        <v>2.194309</v>
      </c>
      <c r="C47" s="142">
        <f>C48+C56+C57</f>
        <v>2.194309</v>
      </c>
      <c r="D47" s="142">
        <f>D48+D56+D57</f>
        <v>0</v>
      </c>
      <c r="E47" s="142">
        <f>E48+E56+E57</f>
        <v>0</v>
      </c>
      <c r="F47" s="143">
        <f>F48+F56+F57</f>
        <v>0</v>
      </c>
    </row>
    <row r="48" spans="1:6" ht="12.75" customHeight="1">
      <c r="A48" s="55" t="s">
        <v>10</v>
      </c>
      <c r="B48" s="159">
        <f t="shared" si="2"/>
        <v>0</v>
      </c>
      <c r="C48" s="160">
        <f>C49+C50+C51+C52+C53+C54+C55</f>
        <v>0</v>
      </c>
      <c r="D48" s="160">
        <f>D49+D50+D51+D52+D53+D54+D55</f>
        <v>0</v>
      </c>
      <c r="E48" s="160">
        <f>E49+E50+E51+E52+E53+E54+E55</f>
        <v>0</v>
      </c>
      <c r="F48" s="166">
        <f>F49+F50+F51+F52+F53+F54+F55</f>
        <v>0</v>
      </c>
    </row>
    <row r="49" spans="1:6" ht="12.75" customHeight="1">
      <c r="A49" s="56" t="s">
        <v>4</v>
      </c>
      <c r="B49" s="148">
        <f t="shared" si="2"/>
        <v>0</v>
      </c>
      <c r="C49" s="149"/>
      <c r="D49" s="150"/>
      <c r="E49" s="150"/>
      <c r="F49" s="151"/>
    </row>
    <row r="50" spans="1:6" ht="12.75" customHeight="1">
      <c r="A50" s="56" t="s">
        <v>17</v>
      </c>
      <c r="B50" s="148">
        <f t="shared" si="2"/>
        <v>0</v>
      </c>
      <c r="C50" s="149"/>
      <c r="D50" s="150"/>
      <c r="E50" s="150"/>
      <c r="F50" s="151"/>
    </row>
    <row r="51" spans="1:6" ht="12.75" customHeight="1">
      <c r="A51" s="56" t="s">
        <v>5</v>
      </c>
      <c r="B51" s="148">
        <f t="shared" si="2"/>
        <v>0</v>
      </c>
      <c r="C51" s="149"/>
      <c r="D51" s="150"/>
      <c r="E51" s="150"/>
      <c r="F51" s="151"/>
    </row>
    <row r="52" spans="1:6" ht="12.75" customHeight="1">
      <c r="A52" s="56" t="s">
        <v>23</v>
      </c>
      <c r="B52" s="148">
        <f>SUM(C52:F52)</f>
        <v>0</v>
      </c>
      <c r="C52" s="149"/>
      <c r="D52" s="149"/>
      <c r="E52" s="149"/>
      <c r="F52" s="152"/>
    </row>
    <row r="53" spans="1:6" ht="12.75" customHeight="1">
      <c r="A53" s="56" t="s">
        <v>24</v>
      </c>
      <c r="B53" s="148">
        <f>SUM(C53:F53)</f>
        <v>0</v>
      </c>
      <c r="C53" s="149"/>
      <c r="D53" s="149"/>
      <c r="E53" s="149"/>
      <c r="F53" s="152"/>
    </row>
    <row r="54" spans="1:6" ht="12.75" customHeight="1">
      <c r="A54" s="56" t="s">
        <v>25</v>
      </c>
      <c r="B54" s="148">
        <f>SUM(C54:F54)</f>
        <v>0</v>
      </c>
      <c r="C54" s="199"/>
      <c r="D54" s="190"/>
      <c r="E54" s="149"/>
      <c r="F54" s="152"/>
    </row>
    <row r="55" spans="1:6" ht="12.75" customHeight="1">
      <c r="A55" s="56" t="s">
        <v>26</v>
      </c>
      <c r="B55" s="148">
        <f>SUM(C55:F55)</f>
        <v>0</v>
      </c>
      <c r="C55" s="199"/>
      <c r="D55" s="190"/>
      <c r="E55" s="149"/>
      <c r="F55" s="152"/>
    </row>
    <row r="56" spans="1:6" ht="12.75" customHeight="1">
      <c r="A56" s="55" t="s">
        <v>0</v>
      </c>
      <c r="B56" s="144">
        <f aca="true" t="shared" si="3" ref="B56:B64">SUM(C56:F56)</f>
        <v>0</v>
      </c>
      <c r="C56" s="200"/>
      <c r="D56" s="153"/>
      <c r="E56" s="153"/>
      <c r="F56" s="154"/>
    </row>
    <row r="57" spans="1:6" ht="12.75" customHeight="1">
      <c r="A57" s="55" t="s">
        <v>12</v>
      </c>
      <c r="B57" s="144">
        <f t="shared" si="3"/>
        <v>2.194309</v>
      </c>
      <c r="C57" s="200">
        <f>C58</f>
        <v>2.194309</v>
      </c>
      <c r="D57" s="153">
        <f>D58</f>
        <v>0</v>
      </c>
      <c r="E57" s="146">
        <f>E58</f>
        <v>0</v>
      </c>
      <c r="F57" s="147">
        <f>F58</f>
        <v>0</v>
      </c>
    </row>
    <row r="58" spans="1:6" ht="12.75" customHeight="1">
      <c r="A58" s="56" t="s">
        <v>13</v>
      </c>
      <c r="B58" s="148">
        <f t="shared" si="3"/>
        <v>2.194309</v>
      </c>
      <c r="C58" s="199">
        <v>2.194309</v>
      </c>
      <c r="D58" s="201"/>
      <c r="E58" s="150"/>
      <c r="F58" s="151"/>
    </row>
    <row r="59" spans="1:6" ht="12.75" customHeight="1" thickBot="1">
      <c r="A59" s="73" t="s">
        <v>14</v>
      </c>
      <c r="B59" s="155">
        <f t="shared" si="3"/>
        <v>4.725</v>
      </c>
      <c r="C59" s="156">
        <v>4.725</v>
      </c>
      <c r="D59" s="157"/>
      <c r="E59" s="157"/>
      <c r="F59" s="158"/>
    </row>
    <row r="60" spans="1:6" ht="12.75" customHeight="1" thickBot="1">
      <c r="A60" s="72" t="s">
        <v>27</v>
      </c>
      <c r="B60" s="141">
        <f t="shared" si="3"/>
        <v>12.261931999999998</v>
      </c>
      <c r="C60" s="142">
        <f>C61+C69+C70</f>
        <v>6.925971</v>
      </c>
      <c r="D60" s="142">
        <f>D61+D69+D70</f>
        <v>0.154131</v>
      </c>
      <c r="E60" s="142">
        <f>E61+E69+E70</f>
        <v>2.0765629999999997</v>
      </c>
      <c r="F60" s="143">
        <f>F61+F69+F70</f>
        <v>3.105267</v>
      </c>
    </row>
    <row r="61" spans="1:6" ht="12.75" customHeight="1">
      <c r="A61" s="78" t="s">
        <v>10</v>
      </c>
      <c r="B61" s="159">
        <f t="shared" si="3"/>
        <v>2.452176</v>
      </c>
      <c r="C61" s="160">
        <f>C62+C63+C64+C65+C66+C67+C68</f>
        <v>0</v>
      </c>
      <c r="D61" s="160">
        <f>D62+D63+D64+D65+D66+D67+D68</f>
        <v>0</v>
      </c>
      <c r="E61" s="160">
        <f>E62+E63+E64+E65+E66+E67+E68</f>
        <v>0.137913</v>
      </c>
      <c r="F61" s="166">
        <f>F62+F63+F64+F65+F66+F67+F68</f>
        <v>2.314263</v>
      </c>
    </row>
    <row r="62" spans="1:6" ht="12.75" customHeight="1">
      <c r="A62" s="79" t="s">
        <v>4</v>
      </c>
      <c r="B62" s="148">
        <f t="shared" si="3"/>
        <v>2.315455</v>
      </c>
      <c r="C62" s="149"/>
      <c r="D62" s="149"/>
      <c r="E62" s="149">
        <v>0.128384</v>
      </c>
      <c r="F62" s="152">
        <v>2.187071</v>
      </c>
    </row>
    <row r="63" spans="1:6" ht="12.75" customHeight="1">
      <c r="A63" s="79" t="s">
        <v>17</v>
      </c>
      <c r="B63" s="148">
        <f t="shared" si="3"/>
        <v>0.076547</v>
      </c>
      <c r="C63" s="149"/>
      <c r="D63" s="150"/>
      <c r="E63" s="150"/>
      <c r="F63" s="151">
        <v>0.076547</v>
      </c>
    </row>
    <row r="64" spans="1:6" ht="12.75" customHeight="1">
      <c r="A64" s="79" t="s">
        <v>5</v>
      </c>
      <c r="B64" s="148">
        <f t="shared" si="3"/>
        <v>0.060174000000000005</v>
      </c>
      <c r="C64" s="149"/>
      <c r="D64" s="150"/>
      <c r="E64" s="150">
        <v>0.009529</v>
      </c>
      <c r="F64" s="151">
        <v>0.050645</v>
      </c>
    </row>
    <row r="65" spans="1:6" ht="12.75" customHeight="1">
      <c r="A65" s="79" t="s">
        <v>23</v>
      </c>
      <c r="B65" s="148">
        <f>SUM(C65:F65)</f>
        <v>0</v>
      </c>
      <c r="C65" s="149"/>
      <c r="D65" s="149"/>
      <c r="E65" s="149"/>
      <c r="F65" s="152"/>
    </row>
    <row r="66" spans="1:6" ht="12.75" customHeight="1">
      <c r="A66" s="79" t="s">
        <v>24</v>
      </c>
      <c r="B66" s="148">
        <f>SUM(C66:F66)</f>
        <v>0</v>
      </c>
      <c r="C66" s="149"/>
      <c r="D66" s="149"/>
      <c r="E66" s="149"/>
      <c r="F66" s="152"/>
    </row>
    <row r="67" spans="1:6" ht="12.75" customHeight="1">
      <c r="A67" s="79" t="s">
        <v>25</v>
      </c>
      <c r="B67" s="148">
        <f>SUM(C67:F67)</f>
        <v>0</v>
      </c>
      <c r="C67" s="149"/>
      <c r="D67" s="149"/>
      <c r="E67" s="149"/>
      <c r="F67" s="152"/>
    </row>
    <row r="68" spans="1:6" ht="12.75" customHeight="1">
      <c r="A68" s="79" t="s">
        <v>26</v>
      </c>
      <c r="B68" s="148">
        <f>SUM(C68:F68)</f>
        <v>0</v>
      </c>
      <c r="C68" s="149"/>
      <c r="D68" s="149"/>
      <c r="E68" s="149"/>
      <c r="F68" s="152"/>
    </row>
    <row r="69" spans="1:6" ht="12.75" customHeight="1">
      <c r="A69" s="78" t="s">
        <v>0</v>
      </c>
      <c r="B69" s="144">
        <f>SUM(C69:F69)</f>
        <v>5.973908</v>
      </c>
      <c r="C69" s="145">
        <v>3.440692</v>
      </c>
      <c r="D69" s="146">
        <v>0.154131</v>
      </c>
      <c r="E69" s="153">
        <v>1.633471</v>
      </c>
      <c r="F69" s="154">
        <v>0.745614</v>
      </c>
    </row>
    <row r="70" spans="1:6" ht="12.75" customHeight="1">
      <c r="A70" s="78" t="s">
        <v>34</v>
      </c>
      <c r="B70" s="144">
        <f>SUM(C70:F70)</f>
        <v>3.8358479999999995</v>
      </c>
      <c r="C70" s="145">
        <f>C71</f>
        <v>3.485279</v>
      </c>
      <c r="D70" s="146">
        <f>D71</f>
        <v>0</v>
      </c>
      <c r="E70" s="146">
        <f>E71</f>
        <v>0.305179</v>
      </c>
      <c r="F70" s="147">
        <f>F71</f>
        <v>0.04539</v>
      </c>
    </row>
    <row r="71" spans="1:6" ht="12.75" customHeight="1">
      <c r="A71" s="79" t="s">
        <v>13</v>
      </c>
      <c r="B71" s="148">
        <f>SUM(C71:F71)</f>
        <v>3.8358479999999995</v>
      </c>
      <c r="C71" s="145">
        <v>3.485279</v>
      </c>
      <c r="D71" s="146"/>
      <c r="E71" s="153">
        <v>0.305179</v>
      </c>
      <c r="F71" s="154">
        <v>0.04539</v>
      </c>
    </row>
    <row r="72" spans="1:6" ht="12.75" customHeight="1" thickBot="1">
      <c r="A72" s="80" t="s">
        <v>14</v>
      </c>
      <c r="B72" s="155">
        <f>SUM(C72:F72)</f>
        <v>5.064</v>
      </c>
      <c r="C72" s="156">
        <v>4.344</v>
      </c>
      <c r="D72" s="157"/>
      <c r="E72" s="157">
        <v>0.644</v>
      </c>
      <c r="F72" s="158">
        <v>0.076</v>
      </c>
    </row>
    <row r="73" spans="1:6" ht="12.75" customHeight="1" thickBot="1">
      <c r="A73" s="72" t="s">
        <v>33</v>
      </c>
      <c r="B73" s="141">
        <f>SUM(C73:F73)</f>
        <v>0</v>
      </c>
      <c r="C73" s="142">
        <f>C74+C82+C83</f>
        <v>0</v>
      </c>
      <c r="D73" s="142">
        <f>D74+D82+D83</f>
        <v>0</v>
      </c>
      <c r="E73" s="142">
        <f>E74+E82+E83</f>
        <v>0</v>
      </c>
      <c r="F73" s="143">
        <f>F74+F82+F83</f>
        <v>0</v>
      </c>
    </row>
    <row r="74" spans="1:6" ht="12.75" customHeight="1">
      <c r="A74" s="78" t="s">
        <v>10</v>
      </c>
      <c r="B74" s="159">
        <f aca="true" t="shared" si="4" ref="B74:B85">SUM(C74:F74)</f>
        <v>0</v>
      </c>
      <c r="C74" s="160">
        <f>C75+C76+C77+C78+C79+C80+C81</f>
        <v>0</v>
      </c>
      <c r="D74" s="160">
        <f>D75+D76+D77+D78+D79+D80+D81</f>
        <v>0</v>
      </c>
      <c r="E74" s="160">
        <f>E75+E76+E77+E78+E79+E80+E81</f>
        <v>0</v>
      </c>
      <c r="F74" s="166">
        <f>F75+F76+F77+F78+F79+F80+F81</f>
        <v>0</v>
      </c>
    </row>
    <row r="75" spans="1:6" ht="12.75" customHeight="1">
      <c r="A75" s="79" t="s">
        <v>4</v>
      </c>
      <c r="B75" s="148">
        <f t="shared" si="4"/>
        <v>0</v>
      </c>
      <c r="C75" s="149"/>
      <c r="D75" s="150"/>
      <c r="E75" s="150"/>
      <c r="F75" s="151"/>
    </row>
    <row r="76" spans="1:6" ht="12.75" customHeight="1">
      <c r="A76" s="79" t="s">
        <v>17</v>
      </c>
      <c r="B76" s="148">
        <f t="shared" si="4"/>
        <v>0</v>
      </c>
      <c r="C76" s="149"/>
      <c r="D76" s="150"/>
      <c r="E76" s="150"/>
      <c r="F76" s="151"/>
    </row>
    <row r="77" spans="1:6" ht="12.75" customHeight="1">
      <c r="A77" s="79" t="s">
        <v>5</v>
      </c>
      <c r="B77" s="148">
        <f t="shared" si="4"/>
        <v>0</v>
      </c>
      <c r="C77" s="149"/>
      <c r="D77" s="150"/>
      <c r="E77" s="150"/>
      <c r="F77" s="151"/>
    </row>
    <row r="78" spans="1:6" ht="12.75" customHeight="1">
      <c r="A78" s="79" t="s">
        <v>23</v>
      </c>
      <c r="B78" s="148">
        <f t="shared" si="4"/>
        <v>0</v>
      </c>
      <c r="C78" s="149"/>
      <c r="D78" s="149"/>
      <c r="E78" s="149"/>
      <c r="F78" s="152"/>
    </row>
    <row r="79" spans="1:6" ht="12.75" customHeight="1">
      <c r="A79" s="79" t="s">
        <v>24</v>
      </c>
      <c r="B79" s="148">
        <f t="shared" si="4"/>
        <v>0</v>
      </c>
      <c r="C79" s="149"/>
      <c r="D79" s="149"/>
      <c r="E79" s="149"/>
      <c r="F79" s="152"/>
    </row>
    <row r="80" spans="1:6" ht="12.75" customHeight="1">
      <c r="A80" s="79" t="s">
        <v>25</v>
      </c>
      <c r="B80" s="148">
        <f t="shared" si="4"/>
        <v>0</v>
      </c>
      <c r="C80" s="149"/>
      <c r="D80" s="149"/>
      <c r="E80" s="149"/>
      <c r="F80" s="152"/>
    </row>
    <row r="81" spans="1:6" ht="12.75" customHeight="1">
      <c r="A81" s="79" t="s">
        <v>26</v>
      </c>
      <c r="B81" s="148">
        <f t="shared" si="4"/>
        <v>0</v>
      </c>
      <c r="C81" s="149"/>
      <c r="D81" s="149"/>
      <c r="E81" s="149"/>
      <c r="F81" s="152"/>
    </row>
    <row r="82" spans="1:6" ht="12.75" customHeight="1">
      <c r="A82" s="78" t="s">
        <v>0</v>
      </c>
      <c r="B82" s="144">
        <f t="shared" si="4"/>
        <v>0</v>
      </c>
      <c r="C82" s="145"/>
      <c r="D82" s="146"/>
      <c r="E82" s="153"/>
      <c r="F82" s="154"/>
    </row>
    <row r="83" spans="1:6" ht="12.75" customHeight="1">
      <c r="A83" s="78" t="s">
        <v>12</v>
      </c>
      <c r="B83" s="144">
        <f t="shared" si="4"/>
        <v>0</v>
      </c>
      <c r="C83" s="145">
        <f>C84</f>
        <v>0</v>
      </c>
      <c r="D83" s="146">
        <f>D84</f>
        <v>0</v>
      </c>
      <c r="E83" s="146">
        <f>E84</f>
        <v>0</v>
      </c>
      <c r="F83" s="147">
        <f>F84</f>
        <v>0</v>
      </c>
    </row>
    <row r="84" spans="1:6" ht="12.75" customHeight="1">
      <c r="A84" s="79" t="s">
        <v>13</v>
      </c>
      <c r="B84" s="148">
        <f t="shared" si="4"/>
        <v>0</v>
      </c>
      <c r="C84" s="149"/>
      <c r="D84" s="150"/>
      <c r="E84" s="150"/>
      <c r="F84" s="151"/>
    </row>
    <row r="85" spans="1:10" ht="12.75" customHeight="1" thickBot="1">
      <c r="A85" s="80" t="s">
        <v>14</v>
      </c>
      <c r="B85" s="155">
        <f t="shared" si="4"/>
        <v>0</v>
      </c>
      <c r="C85" s="156"/>
      <c r="D85" s="157"/>
      <c r="E85" s="157"/>
      <c r="F85" s="158"/>
      <c r="J85" s="209"/>
    </row>
    <row r="86" spans="1:10" ht="12.75" customHeight="1" thickBot="1">
      <c r="A86" s="72" t="s">
        <v>35</v>
      </c>
      <c r="B86" s="141">
        <f>SUM(C86:F86)</f>
        <v>3.294717</v>
      </c>
      <c r="C86" s="142">
        <f>C87+C95+C96</f>
        <v>3.274597</v>
      </c>
      <c r="D86" s="142">
        <f>D87+D95+D96</f>
        <v>0</v>
      </c>
      <c r="E86" s="142">
        <f>E87+E95+E96</f>
        <v>0</v>
      </c>
      <c r="F86" s="143">
        <f>F87+F95+F96</f>
        <v>0.02012</v>
      </c>
      <c r="J86" s="209"/>
    </row>
    <row r="87" spans="1:10" ht="12.75" customHeight="1">
      <c r="A87" s="78" t="s">
        <v>10</v>
      </c>
      <c r="B87" s="159">
        <f aca="true" t="shared" si="5" ref="B87:B142">SUM(C87:F87)</f>
        <v>0</v>
      </c>
      <c r="C87" s="160">
        <f>C88+C89+C90+C91+C92+C93+C94</f>
        <v>0</v>
      </c>
      <c r="D87" s="160">
        <f>D88+D89+D90+D91+D92+D93+D94</f>
        <v>0</v>
      </c>
      <c r="E87" s="160">
        <f>E88+E89+E90+E91+E92+E93+E94</f>
        <v>0</v>
      </c>
      <c r="F87" s="166">
        <f>F88+F89+F90+F91+F92+F93+F94</f>
        <v>0</v>
      </c>
      <c r="J87" s="209"/>
    </row>
    <row r="88" spans="1:6" ht="12.75" customHeight="1">
      <c r="A88" s="79" t="s">
        <v>4</v>
      </c>
      <c r="B88" s="148">
        <f t="shared" si="5"/>
        <v>0</v>
      </c>
      <c r="C88" s="149"/>
      <c r="D88" s="150"/>
      <c r="E88" s="150"/>
      <c r="F88" s="151"/>
    </row>
    <row r="89" spans="1:6" ht="12.75" customHeight="1">
      <c r="A89" s="79" t="s">
        <v>17</v>
      </c>
      <c r="B89" s="148">
        <f t="shared" si="5"/>
        <v>0</v>
      </c>
      <c r="C89" s="149"/>
      <c r="D89" s="150"/>
      <c r="E89" s="150"/>
      <c r="F89" s="151"/>
    </row>
    <row r="90" spans="1:6" ht="12.75" customHeight="1">
      <c r="A90" s="79" t="s">
        <v>5</v>
      </c>
      <c r="B90" s="148">
        <f t="shared" si="5"/>
        <v>0</v>
      </c>
      <c r="C90" s="149"/>
      <c r="D90" s="150"/>
      <c r="E90" s="150"/>
      <c r="F90" s="151"/>
    </row>
    <row r="91" spans="1:6" ht="12.75" customHeight="1">
      <c r="A91" s="79" t="s">
        <v>23</v>
      </c>
      <c r="B91" s="148">
        <f t="shared" si="5"/>
        <v>0</v>
      </c>
      <c r="C91" s="149"/>
      <c r="D91" s="149"/>
      <c r="E91" s="149"/>
      <c r="F91" s="152"/>
    </row>
    <row r="92" spans="1:6" ht="12.75" customHeight="1">
      <c r="A92" s="79" t="s">
        <v>24</v>
      </c>
      <c r="B92" s="148">
        <f t="shared" si="5"/>
        <v>0</v>
      </c>
      <c r="C92" s="149"/>
      <c r="D92" s="149"/>
      <c r="E92" s="149"/>
      <c r="F92" s="152"/>
    </row>
    <row r="93" spans="1:6" ht="12.75" customHeight="1">
      <c r="A93" s="79" t="s">
        <v>25</v>
      </c>
      <c r="B93" s="148">
        <f t="shared" si="5"/>
        <v>0</v>
      </c>
      <c r="C93" s="149"/>
      <c r="D93" s="149"/>
      <c r="E93" s="149"/>
      <c r="F93" s="152"/>
    </row>
    <row r="94" spans="1:6" ht="12.75">
      <c r="A94" s="79" t="s">
        <v>26</v>
      </c>
      <c r="B94" s="148">
        <f t="shared" si="5"/>
        <v>0</v>
      </c>
      <c r="C94" s="149"/>
      <c r="D94" s="149"/>
      <c r="E94" s="149"/>
      <c r="F94" s="152"/>
    </row>
    <row r="95" spans="1:6" ht="13.5">
      <c r="A95" s="78" t="s">
        <v>0</v>
      </c>
      <c r="B95" s="144">
        <f t="shared" si="5"/>
        <v>1.1537069999999998</v>
      </c>
      <c r="C95" s="145">
        <f>3.274597-C96</f>
        <v>1.133587</v>
      </c>
      <c r="D95" s="146"/>
      <c r="E95" s="153"/>
      <c r="F95" s="154">
        <v>0.02012</v>
      </c>
    </row>
    <row r="96" spans="1:6" ht="13.5">
      <c r="A96" s="78" t="s">
        <v>12</v>
      </c>
      <c r="B96" s="144">
        <f t="shared" si="5"/>
        <v>2.14101</v>
      </c>
      <c r="C96" s="145">
        <f>C97</f>
        <v>2.14101</v>
      </c>
      <c r="D96" s="146">
        <f>D97</f>
        <v>0</v>
      </c>
      <c r="E96" s="146">
        <f>E97</f>
        <v>0</v>
      </c>
      <c r="F96" s="147">
        <f>F97</f>
        <v>0</v>
      </c>
    </row>
    <row r="97" spans="1:6" ht="12.75">
      <c r="A97" s="79" t="s">
        <v>13</v>
      </c>
      <c r="B97" s="148">
        <f t="shared" si="5"/>
        <v>2.14101</v>
      </c>
      <c r="C97" s="149">
        <v>2.14101</v>
      </c>
      <c r="D97" s="150"/>
      <c r="E97" s="150"/>
      <c r="F97" s="151"/>
    </row>
    <row r="98" spans="1:6" ht="13.5" thickBot="1">
      <c r="A98" s="80" t="s">
        <v>14</v>
      </c>
      <c r="B98" s="155">
        <f t="shared" si="5"/>
        <v>1.562</v>
      </c>
      <c r="C98" s="156">
        <v>1.562</v>
      </c>
      <c r="D98" s="157"/>
      <c r="E98" s="157"/>
      <c r="F98" s="158"/>
    </row>
    <row r="99" spans="1:6" ht="13.5" thickBot="1">
      <c r="A99" s="72" t="s">
        <v>18</v>
      </c>
      <c r="B99" s="141">
        <f t="shared" si="5"/>
        <v>4.332886</v>
      </c>
      <c r="C99" s="142">
        <f>C100+C108+C109</f>
        <v>0.388605</v>
      </c>
      <c r="D99" s="142">
        <f>D100+D108+D109</f>
        <v>0</v>
      </c>
      <c r="E99" s="142">
        <f>E100+E108+E109</f>
        <v>1.3791200000000001</v>
      </c>
      <c r="F99" s="143">
        <f>F100+F108+F109</f>
        <v>2.5651610000000002</v>
      </c>
    </row>
    <row r="100" spans="1:6" ht="13.5">
      <c r="A100" s="78" t="s">
        <v>10</v>
      </c>
      <c r="B100" s="159">
        <f t="shared" si="5"/>
        <v>1.845996</v>
      </c>
      <c r="C100" s="160">
        <f>C101+C102+C103+C104+C105+C106+C107</f>
        <v>0.046386</v>
      </c>
      <c r="D100" s="160">
        <f>D101+D102+D103+D104+D105+D106+D107</f>
        <v>0</v>
      </c>
      <c r="E100" s="160">
        <f>E101+E102+E103+E104+E105+E106+E107</f>
        <v>0.104688</v>
      </c>
      <c r="F100" s="166">
        <f>F101+F102+F103+F104+F105+F106+F107</f>
        <v>1.694922</v>
      </c>
    </row>
    <row r="101" spans="1:6" ht="12.75">
      <c r="A101" s="79" t="s">
        <v>4</v>
      </c>
      <c r="B101" s="148">
        <f t="shared" si="5"/>
        <v>1.211266</v>
      </c>
      <c r="C101" s="149"/>
      <c r="D101" s="150"/>
      <c r="E101" s="150">
        <v>0.007595</v>
      </c>
      <c r="F101" s="151">
        <v>1.203671</v>
      </c>
    </row>
    <row r="102" spans="1:6" ht="12.75">
      <c r="A102" s="79" t="s">
        <v>17</v>
      </c>
      <c r="B102" s="148">
        <f t="shared" si="5"/>
        <v>0</v>
      </c>
      <c r="C102" s="149"/>
      <c r="D102" s="150"/>
      <c r="E102" s="150"/>
      <c r="F102" s="151"/>
    </row>
    <row r="103" spans="1:6" ht="12.75">
      <c r="A103" s="79" t="s">
        <v>5</v>
      </c>
      <c r="B103" s="148">
        <f t="shared" si="5"/>
        <v>0.487133</v>
      </c>
      <c r="C103" s="149"/>
      <c r="D103" s="150"/>
      <c r="E103" s="150">
        <v>0.004729</v>
      </c>
      <c r="F103" s="151">
        <v>0.482404</v>
      </c>
    </row>
    <row r="104" spans="1:6" ht="12.75">
      <c r="A104" s="79" t="s">
        <v>23</v>
      </c>
      <c r="B104" s="148">
        <f t="shared" si="5"/>
        <v>0</v>
      </c>
      <c r="C104" s="149"/>
      <c r="D104" s="149"/>
      <c r="E104" s="149"/>
      <c r="F104" s="152"/>
    </row>
    <row r="105" spans="1:6" ht="12.75">
      <c r="A105" s="79" t="s">
        <v>24</v>
      </c>
      <c r="B105" s="148">
        <f t="shared" si="5"/>
        <v>0.008847</v>
      </c>
      <c r="C105" s="149"/>
      <c r="D105" s="149"/>
      <c r="E105" s="149"/>
      <c r="F105" s="152">
        <v>0.008847</v>
      </c>
    </row>
    <row r="106" spans="1:6" ht="12.75">
      <c r="A106" s="79" t="s">
        <v>25</v>
      </c>
      <c r="B106" s="148">
        <f t="shared" si="5"/>
        <v>0.13874999999999998</v>
      </c>
      <c r="C106" s="149">
        <v>0.046386</v>
      </c>
      <c r="D106" s="149"/>
      <c r="E106" s="149">
        <v>0.092364</v>
      </c>
      <c r="F106" s="152"/>
    </row>
    <row r="107" spans="1:6" ht="12.75">
      <c r="A107" s="79" t="s">
        <v>26</v>
      </c>
      <c r="B107" s="148">
        <f t="shared" si="5"/>
        <v>0</v>
      </c>
      <c r="C107" s="149"/>
      <c r="D107" s="149"/>
      <c r="E107" s="149"/>
      <c r="F107" s="152"/>
    </row>
    <row r="108" spans="1:6" ht="13.5">
      <c r="A108" s="78" t="s">
        <v>0</v>
      </c>
      <c r="B108" s="144">
        <f t="shared" si="5"/>
        <v>2.359778</v>
      </c>
      <c r="C108" s="145">
        <v>0.342219</v>
      </c>
      <c r="D108" s="146"/>
      <c r="E108" s="153">
        <v>1.234287</v>
      </c>
      <c r="F108" s="154">
        <v>0.783272</v>
      </c>
    </row>
    <row r="109" spans="1:6" ht="13.5">
      <c r="A109" s="78" t="s">
        <v>12</v>
      </c>
      <c r="B109" s="144">
        <f t="shared" si="5"/>
        <v>0.127112</v>
      </c>
      <c r="C109" s="145">
        <f>C110</f>
        <v>0</v>
      </c>
      <c r="D109" s="146">
        <f>D110</f>
        <v>0</v>
      </c>
      <c r="E109" s="146">
        <f>E110</f>
        <v>0.040145</v>
      </c>
      <c r="F109" s="147">
        <f>F110</f>
        <v>0.086967</v>
      </c>
    </row>
    <row r="110" spans="1:6" ht="12.75">
      <c r="A110" s="79" t="s">
        <v>13</v>
      </c>
      <c r="B110" s="148">
        <f t="shared" si="5"/>
        <v>0.127112</v>
      </c>
      <c r="C110" s="149"/>
      <c r="D110" s="150"/>
      <c r="E110" s="150">
        <v>0.040145</v>
      </c>
      <c r="F110" s="151">
        <v>0.086967</v>
      </c>
    </row>
    <row r="111" spans="1:6" ht="13.5" thickBot="1">
      <c r="A111" s="80" t="s">
        <v>14</v>
      </c>
      <c r="B111" s="155">
        <f t="shared" si="5"/>
        <v>0.22999999999999998</v>
      </c>
      <c r="C111" s="156"/>
      <c r="D111" s="157"/>
      <c r="E111" s="198">
        <v>0.084</v>
      </c>
      <c r="F111" s="158">
        <v>0.146</v>
      </c>
    </row>
    <row r="112" spans="1:12" ht="13.5" thickBot="1">
      <c r="A112" s="72" t="s">
        <v>28</v>
      </c>
      <c r="B112" s="141">
        <f t="shared" si="5"/>
        <v>2.3930010000000004</v>
      </c>
      <c r="C112" s="142">
        <f>C113+C121+C122</f>
        <v>1.2205780000000002</v>
      </c>
      <c r="D112" s="142">
        <f>D113+D121+D122</f>
        <v>0</v>
      </c>
      <c r="E112" s="142">
        <f>E113+E121+E122</f>
        <v>0.713947</v>
      </c>
      <c r="F112" s="143">
        <f>F113+F121+F122</f>
        <v>0.458476</v>
      </c>
      <c r="J112" s="180"/>
      <c r="K112" s="180"/>
      <c r="L112" s="180"/>
    </row>
    <row r="113" spans="1:12" ht="13.5">
      <c r="A113" s="78" t="s">
        <v>10</v>
      </c>
      <c r="B113" s="159">
        <f t="shared" si="5"/>
        <v>0.427883</v>
      </c>
      <c r="C113" s="160">
        <f>C114+C115+C116+C117+C118+C119+C120</f>
        <v>0.00032</v>
      </c>
      <c r="D113" s="160">
        <f>D114+D115+D116+D117+D118+D119+D120</f>
        <v>0</v>
      </c>
      <c r="E113" s="160">
        <f>E114+E115+E116+E117+E118+E119+E120</f>
        <v>0</v>
      </c>
      <c r="F113" s="166">
        <f>F114+F115+F116+F117+F118+F119+F120</f>
        <v>0.427563</v>
      </c>
      <c r="J113" s="180"/>
      <c r="K113" s="205"/>
      <c r="L113" s="180"/>
    </row>
    <row r="114" spans="1:12" ht="12.75">
      <c r="A114" s="79" t="s">
        <v>4</v>
      </c>
      <c r="B114" s="148">
        <f t="shared" si="5"/>
        <v>0.417903</v>
      </c>
      <c r="C114" s="149"/>
      <c r="D114" s="150"/>
      <c r="E114" s="150"/>
      <c r="F114" s="151">
        <v>0.417903</v>
      </c>
      <c r="J114" s="180"/>
      <c r="K114" s="180"/>
      <c r="L114" s="180"/>
    </row>
    <row r="115" spans="1:12" ht="12.75">
      <c r="A115" s="79" t="s">
        <v>17</v>
      </c>
      <c r="B115" s="148">
        <f t="shared" si="5"/>
        <v>0.00966</v>
      </c>
      <c r="C115" s="149"/>
      <c r="D115" s="150"/>
      <c r="E115" s="150"/>
      <c r="F115" s="151">
        <v>0.00966</v>
      </c>
      <c r="J115" s="180"/>
      <c r="K115" s="180"/>
      <c r="L115" s="180"/>
    </row>
    <row r="116" spans="1:12" ht="12.75">
      <c r="A116" s="79" t="s">
        <v>5</v>
      </c>
      <c r="B116" s="148">
        <f t="shared" si="5"/>
        <v>0</v>
      </c>
      <c r="C116" s="149"/>
      <c r="D116" s="150"/>
      <c r="E116" s="150"/>
      <c r="F116" s="151"/>
      <c r="J116" s="180"/>
      <c r="K116" s="180"/>
      <c r="L116" s="180"/>
    </row>
    <row r="117" spans="1:12" ht="12.75">
      <c r="A117" s="79" t="s">
        <v>23</v>
      </c>
      <c r="B117" s="148">
        <f t="shared" si="5"/>
        <v>0</v>
      </c>
      <c r="C117" s="149"/>
      <c r="D117" s="149"/>
      <c r="E117" s="149"/>
      <c r="F117" s="152"/>
      <c r="J117" s="180"/>
      <c r="K117" s="180"/>
      <c r="L117" s="180"/>
    </row>
    <row r="118" spans="1:12" ht="12.75">
      <c r="A118" s="79" t="s">
        <v>24</v>
      </c>
      <c r="B118" s="148">
        <f t="shared" si="5"/>
        <v>0</v>
      </c>
      <c r="C118" s="149"/>
      <c r="D118" s="149"/>
      <c r="E118" s="149"/>
      <c r="F118" s="152"/>
      <c r="J118" s="180"/>
      <c r="K118" s="180"/>
      <c r="L118" s="180"/>
    </row>
    <row r="119" spans="1:12" ht="12.75">
      <c r="A119" s="79" t="s">
        <v>25</v>
      </c>
      <c r="B119" s="148">
        <f t="shared" si="5"/>
        <v>0</v>
      </c>
      <c r="C119" s="149"/>
      <c r="D119" s="149"/>
      <c r="E119" s="149"/>
      <c r="F119" s="152"/>
      <c r="J119" s="180"/>
      <c r="K119" s="180"/>
      <c r="L119" s="180"/>
    </row>
    <row r="120" spans="1:12" ht="12.75">
      <c r="A120" s="79" t="s">
        <v>26</v>
      </c>
      <c r="B120" s="148">
        <f t="shared" si="5"/>
        <v>0.00032</v>
      </c>
      <c r="C120" s="149">
        <v>0.00032</v>
      </c>
      <c r="D120" s="149"/>
      <c r="E120" s="149"/>
      <c r="F120" s="152"/>
      <c r="J120" s="180"/>
      <c r="K120" s="180"/>
      <c r="L120" s="180"/>
    </row>
    <row r="121" spans="1:12" ht="13.5">
      <c r="A121" s="78" t="s">
        <v>0</v>
      </c>
      <c r="B121" s="144">
        <f t="shared" si="5"/>
        <v>1.932857</v>
      </c>
      <c r="C121" s="145">
        <v>1.220258</v>
      </c>
      <c r="D121" s="146"/>
      <c r="E121" s="153">
        <v>0.688328</v>
      </c>
      <c r="F121" s="154">
        <v>0.024271</v>
      </c>
      <c r="J121" s="180"/>
      <c r="K121" s="180"/>
      <c r="L121" s="180"/>
    </row>
    <row r="122" spans="1:12" ht="13.5">
      <c r="A122" s="78" t="s">
        <v>12</v>
      </c>
      <c r="B122" s="144">
        <f t="shared" si="5"/>
        <v>0.032261</v>
      </c>
      <c r="C122" s="145"/>
      <c r="D122" s="146">
        <f>D123</f>
        <v>0</v>
      </c>
      <c r="E122" s="146">
        <f>E123</f>
        <v>0.025619</v>
      </c>
      <c r="F122" s="147">
        <f>F123</f>
        <v>0.006642</v>
      </c>
      <c r="J122" s="180"/>
      <c r="K122" s="180"/>
      <c r="L122" s="180"/>
    </row>
    <row r="123" spans="1:12" ht="12.75">
      <c r="A123" s="79" t="s">
        <v>13</v>
      </c>
      <c r="B123" s="148">
        <f t="shared" si="5"/>
        <v>0.032261</v>
      </c>
      <c r="C123" s="149"/>
      <c r="D123" s="150"/>
      <c r="E123" s="150">
        <v>0.025619</v>
      </c>
      <c r="F123" s="151">
        <v>0.006642</v>
      </c>
      <c r="J123" s="180"/>
      <c r="K123" s="180"/>
      <c r="L123" s="180"/>
    </row>
    <row r="124" spans="1:12" ht="13.5" thickBot="1">
      <c r="A124" s="80" t="s">
        <v>14</v>
      </c>
      <c r="B124" s="155">
        <f t="shared" si="5"/>
        <v>0.055</v>
      </c>
      <c r="C124" s="156"/>
      <c r="D124" s="157"/>
      <c r="E124" s="157">
        <v>0.045</v>
      </c>
      <c r="F124" s="158">
        <v>0.01</v>
      </c>
      <c r="J124" s="209"/>
      <c r="K124" s="180"/>
      <c r="L124" s="180"/>
    </row>
    <row r="125" spans="1:10" ht="13.5" thickBot="1">
      <c r="A125" s="72" t="s">
        <v>19</v>
      </c>
      <c r="B125" s="141">
        <f t="shared" si="5"/>
        <v>3.834504</v>
      </c>
      <c r="C125" s="142">
        <f>C126+C134+C135</f>
        <v>2.335502</v>
      </c>
      <c r="D125" s="142">
        <f>D126+D134+D135</f>
        <v>0</v>
      </c>
      <c r="E125" s="142">
        <f>E126+E134+E135</f>
        <v>0.891227</v>
      </c>
      <c r="F125" s="143">
        <f>F126+F134+F135</f>
        <v>0.6077750000000001</v>
      </c>
      <c r="J125" s="209"/>
    </row>
    <row r="126" spans="1:10" ht="13.5">
      <c r="A126" s="78" t="s">
        <v>10</v>
      </c>
      <c r="B126" s="159">
        <f t="shared" si="5"/>
        <v>0.46000700000000005</v>
      </c>
      <c r="C126" s="160">
        <f>C127+C128+C129+C130+C131+C132+C133</f>
        <v>0</v>
      </c>
      <c r="D126" s="160">
        <f>D127+D128+D129+D130+D131+D132+D133</f>
        <v>0</v>
      </c>
      <c r="E126" s="160">
        <f>E127+E128+E129+E130+E131+E132+E133</f>
        <v>0.08035300000000001</v>
      </c>
      <c r="F126" s="166">
        <f>F127+F128+F129+F130+F131+F132+F133</f>
        <v>0.37965400000000005</v>
      </c>
      <c r="J126" s="209"/>
    </row>
    <row r="127" spans="1:6" ht="12.75">
      <c r="A127" s="79" t="s">
        <v>4</v>
      </c>
      <c r="B127" s="148">
        <f t="shared" si="5"/>
        <v>0.169493</v>
      </c>
      <c r="C127" s="149"/>
      <c r="D127" s="150"/>
      <c r="E127" s="150">
        <v>0.045307</v>
      </c>
      <c r="F127" s="151">
        <v>0.124186</v>
      </c>
    </row>
    <row r="128" spans="1:10" ht="12.75">
      <c r="A128" s="79" t="s">
        <v>17</v>
      </c>
      <c r="B128" s="148">
        <f t="shared" si="5"/>
        <v>0.043595999999999996</v>
      </c>
      <c r="C128" s="149"/>
      <c r="D128" s="150"/>
      <c r="E128" s="150">
        <v>0.030226</v>
      </c>
      <c r="F128" s="151">
        <v>0.01337</v>
      </c>
      <c r="J128" s="209"/>
    </row>
    <row r="129" spans="1:10" ht="12.75">
      <c r="A129" s="79" t="s">
        <v>5</v>
      </c>
      <c r="B129" s="148">
        <f t="shared" si="5"/>
        <v>0.246414</v>
      </c>
      <c r="C129" s="149"/>
      <c r="D129" s="150"/>
      <c r="E129" s="150">
        <v>0.0043159999999999995</v>
      </c>
      <c r="F129" s="151">
        <v>0.242098</v>
      </c>
      <c r="J129" s="209"/>
    </row>
    <row r="130" spans="1:6" ht="12.75">
      <c r="A130" s="79" t="s">
        <v>23</v>
      </c>
      <c r="B130" s="148">
        <f t="shared" si="5"/>
        <v>0</v>
      </c>
      <c r="C130" s="149"/>
      <c r="D130" s="149"/>
      <c r="E130" s="149"/>
      <c r="F130" s="152"/>
    </row>
    <row r="131" spans="1:6" ht="12.75">
      <c r="A131" s="79" t="s">
        <v>24</v>
      </c>
      <c r="B131" s="148">
        <f t="shared" si="5"/>
        <v>1.7E-05</v>
      </c>
      <c r="C131" s="149"/>
      <c r="D131" s="149"/>
      <c r="E131" s="149">
        <v>1.7E-05</v>
      </c>
      <c r="F131" s="152"/>
    </row>
    <row r="132" spans="1:6" ht="12.75">
      <c r="A132" s="79" t="s">
        <v>25</v>
      </c>
      <c r="B132" s="148">
        <f t="shared" si="5"/>
        <v>0</v>
      </c>
      <c r="C132" s="149"/>
      <c r="D132" s="149"/>
      <c r="E132" s="149"/>
      <c r="F132" s="152"/>
    </row>
    <row r="133" spans="1:6" ht="12.75">
      <c r="A133" s="79" t="s">
        <v>26</v>
      </c>
      <c r="B133" s="148">
        <f t="shared" si="5"/>
        <v>0.000487</v>
      </c>
      <c r="C133" s="149"/>
      <c r="D133" s="149"/>
      <c r="E133" s="149">
        <v>0.000487</v>
      </c>
      <c r="F133" s="152"/>
    </row>
    <row r="134" spans="1:6" ht="13.5">
      <c r="A134" s="78" t="s">
        <v>0</v>
      </c>
      <c r="B134" s="144">
        <f t="shared" si="5"/>
        <v>2.901634</v>
      </c>
      <c r="C134" s="145">
        <v>2.172974</v>
      </c>
      <c r="D134" s="146"/>
      <c r="E134" s="153">
        <v>0.577516</v>
      </c>
      <c r="F134" s="154">
        <v>0.151144</v>
      </c>
    </row>
    <row r="135" spans="1:6" ht="13.5">
      <c r="A135" s="78" t="s">
        <v>12</v>
      </c>
      <c r="B135" s="144">
        <f t="shared" si="5"/>
        <v>0.47286300000000003</v>
      </c>
      <c r="C135" s="145">
        <f>C136</f>
        <v>0.162528</v>
      </c>
      <c r="D135" s="146">
        <f>D136</f>
        <v>0</v>
      </c>
      <c r="E135" s="146">
        <f>E136</f>
        <v>0.233358</v>
      </c>
      <c r="F135" s="147">
        <f>F136</f>
        <v>0.076977</v>
      </c>
    </row>
    <row r="136" spans="1:6" ht="12.75">
      <c r="A136" s="79" t="s">
        <v>13</v>
      </c>
      <c r="B136" s="148">
        <f t="shared" si="5"/>
        <v>0.47286300000000003</v>
      </c>
      <c r="C136" s="149">
        <v>0.162528</v>
      </c>
      <c r="D136" s="150"/>
      <c r="E136" s="149">
        <v>0.233358</v>
      </c>
      <c r="F136" s="151">
        <v>0.076977</v>
      </c>
    </row>
    <row r="137" spans="1:6" ht="13.5" thickBot="1">
      <c r="A137" s="80" t="s">
        <v>14</v>
      </c>
      <c r="B137" s="155">
        <f t="shared" si="5"/>
        <v>0.75</v>
      </c>
      <c r="C137" s="156">
        <v>0.248</v>
      </c>
      <c r="D137" s="157"/>
      <c r="E137" s="156">
        <v>0.371</v>
      </c>
      <c r="F137" s="158">
        <v>0.131</v>
      </c>
    </row>
    <row r="138" spans="1:6" ht="13.5" thickBot="1">
      <c r="A138" s="72" t="s">
        <v>20</v>
      </c>
      <c r="B138" s="141">
        <f t="shared" si="5"/>
        <v>0.808499</v>
      </c>
      <c r="C138" s="142">
        <f>C139+C147+C148</f>
        <v>0.180856</v>
      </c>
      <c r="D138" s="142">
        <f>D139+D147+D148</f>
        <v>0</v>
      </c>
      <c r="E138" s="142">
        <f>E139+E147+E148</f>
        <v>0.230933</v>
      </c>
      <c r="F138" s="143">
        <f>F139+F147</f>
        <v>0.39671</v>
      </c>
    </row>
    <row r="139" spans="1:6" ht="13.5">
      <c r="A139" s="78" t="s">
        <v>10</v>
      </c>
      <c r="B139" s="159">
        <f t="shared" si="5"/>
        <v>0.279456</v>
      </c>
      <c r="C139" s="160">
        <f>C140+C141+C142+C143+C144+C145+C146</f>
        <v>0</v>
      </c>
      <c r="D139" s="160">
        <f>D140+D141+D142+D143+D144+D145+D146</f>
        <v>0</v>
      </c>
      <c r="E139" s="160">
        <f>E140+E141+E142+E143+E144+E145+E146</f>
        <v>0</v>
      </c>
      <c r="F139" s="166">
        <f>F140+F141+F142+F143+F144+F145+F146</f>
        <v>0.279456</v>
      </c>
    </row>
    <row r="140" spans="1:6" ht="12.75">
      <c r="A140" s="79" t="s">
        <v>4</v>
      </c>
      <c r="B140" s="148">
        <f t="shared" si="5"/>
        <v>0.215639</v>
      </c>
      <c r="C140" s="149"/>
      <c r="D140" s="149"/>
      <c r="E140" s="149"/>
      <c r="F140" s="152">
        <v>0.215639</v>
      </c>
    </row>
    <row r="141" spans="1:6" ht="12.75">
      <c r="A141" s="79" t="s">
        <v>17</v>
      </c>
      <c r="B141" s="148">
        <f t="shared" si="5"/>
        <v>0</v>
      </c>
      <c r="C141" s="149"/>
      <c r="D141" s="149"/>
      <c r="E141" s="149"/>
      <c r="F141" s="152"/>
    </row>
    <row r="142" spans="1:6" ht="12.75">
      <c r="A142" s="79" t="s">
        <v>5</v>
      </c>
      <c r="B142" s="148">
        <f t="shared" si="5"/>
        <v>0.063817</v>
      </c>
      <c r="C142" s="149"/>
      <c r="D142" s="149"/>
      <c r="E142" s="149"/>
      <c r="F142" s="152">
        <v>0.063817</v>
      </c>
    </row>
    <row r="143" spans="1:6" ht="12.75">
      <c r="A143" s="79" t="s">
        <v>23</v>
      </c>
      <c r="B143" s="148">
        <f>SUM(C143:F143)</f>
        <v>0</v>
      </c>
      <c r="C143" s="149"/>
      <c r="D143" s="149"/>
      <c r="E143" s="149"/>
      <c r="F143" s="152"/>
    </row>
    <row r="144" spans="1:6" ht="12.75">
      <c r="A144" s="79" t="s">
        <v>24</v>
      </c>
      <c r="B144" s="148">
        <f>SUM(C144:F144)</f>
        <v>0</v>
      </c>
      <c r="C144" s="149"/>
      <c r="D144" s="149"/>
      <c r="E144" s="149"/>
      <c r="F144" s="152"/>
    </row>
    <row r="145" spans="1:6" ht="12.75">
      <c r="A145" s="79" t="s">
        <v>25</v>
      </c>
      <c r="B145" s="148">
        <f>SUM(C145:F145)</f>
        <v>0</v>
      </c>
      <c r="C145" s="149"/>
      <c r="D145" s="149"/>
      <c r="E145" s="149"/>
      <c r="F145" s="152"/>
    </row>
    <row r="146" spans="1:6" ht="12.75">
      <c r="A146" s="79" t="s">
        <v>26</v>
      </c>
      <c r="B146" s="148">
        <f>SUM(C146:F146)</f>
        <v>0</v>
      </c>
      <c r="C146" s="149"/>
      <c r="D146" s="149"/>
      <c r="E146" s="149"/>
      <c r="F146" s="152"/>
    </row>
    <row r="147" spans="1:6" ht="13.5">
      <c r="A147" s="78" t="s">
        <v>0</v>
      </c>
      <c r="B147" s="163">
        <f>SUM(C147:F147)</f>
        <v>0.5021829999999999</v>
      </c>
      <c r="C147" s="149">
        <v>0.180856</v>
      </c>
      <c r="D147" s="164"/>
      <c r="E147" s="164">
        <v>0.204073</v>
      </c>
      <c r="F147" s="165">
        <v>0.117254</v>
      </c>
    </row>
    <row r="148" spans="1:6" ht="13.5">
      <c r="A148" s="78" t="s">
        <v>12</v>
      </c>
      <c r="B148" s="144">
        <f>SUM(C148:F148)</f>
        <v>0.02686</v>
      </c>
      <c r="C148" s="145">
        <f>C149</f>
        <v>0</v>
      </c>
      <c r="D148" s="146">
        <f>D149</f>
        <v>0</v>
      </c>
      <c r="E148" s="146">
        <f>E149</f>
        <v>0.02686</v>
      </c>
      <c r="F148" s="147">
        <f>F149</f>
        <v>0</v>
      </c>
    </row>
    <row r="149" spans="1:6" ht="12.75">
      <c r="A149" s="79" t="s">
        <v>13</v>
      </c>
      <c r="B149" s="148">
        <f>SUM(C149:F149)</f>
        <v>0.02686</v>
      </c>
      <c r="C149" s="149"/>
      <c r="D149" s="150"/>
      <c r="E149" s="150">
        <v>0.02686</v>
      </c>
      <c r="F149" s="151"/>
    </row>
    <row r="150" spans="1:6" ht="13.5" thickBot="1">
      <c r="A150" s="80" t="s">
        <v>14</v>
      </c>
      <c r="B150" s="155">
        <f>SUM(C150:F150)</f>
        <v>0.045</v>
      </c>
      <c r="C150" s="156"/>
      <c r="D150" s="157"/>
      <c r="E150" s="157">
        <v>0.045</v>
      </c>
      <c r="F150" s="158"/>
    </row>
    <row r="151" spans="1:12" ht="13.5" thickBot="1">
      <c r="A151" s="72" t="s">
        <v>21</v>
      </c>
      <c r="B151" s="141">
        <f>SUM(C151:F151)</f>
        <v>1.9637319999999998</v>
      </c>
      <c r="C151" s="142">
        <f>C152+C160+C161</f>
        <v>0</v>
      </c>
      <c r="D151" s="142">
        <f>D152+D160+D161</f>
        <v>0</v>
      </c>
      <c r="E151" s="142">
        <f>E152+E160+E161</f>
        <v>1.2318289999999998</v>
      </c>
      <c r="F151" s="143">
        <f>F152+F160+F161</f>
        <v>0.731903</v>
      </c>
      <c r="H151" s="141">
        <f>SUM(I151:L151)</f>
        <v>1.9826219999999999</v>
      </c>
      <c r="I151" s="142">
        <f>I152+I160+I161</f>
        <v>0</v>
      </c>
      <c r="J151" s="142">
        <f>J152+J160+J161</f>
        <v>0</v>
      </c>
      <c r="K151" s="142">
        <f>K152+K160+K161</f>
        <v>1.2318289999999998</v>
      </c>
      <c r="L151" s="143">
        <f>L152+L160+L161</f>
        <v>0.750793</v>
      </c>
    </row>
    <row r="152" spans="1:12" ht="13.5">
      <c r="A152" s="78" t="s">
        <v>10</v>
      </c>
      <c r="B152" s="159">
        <f>SUM(C152:F152)</f>
        <v>0.9594100000000001</v>
      </c>
      <c r="C152" s="160">
        <f>C153+C154+C155+C156+C157+C158+C159</f>
        <v>0</v>
      </c>
      <c r="D152" s="160">
        <f>D153+D154+D155+D156+D157+D158+D159</f>
        <v>0</v>
      </c>
      <c r="E152" s="160">
        <f>E153+E154+E155+E156+E157+E158+E159</f>
        <v>0.35364</v>
      </c>
      <c r="F152" s="166">
        <f>F153+F154+F155+F156+F157+F158+F159</f>
        <v>0.60577</v>
      </c>
      <c r="H152" s="159">
        <f>SUM(I152:L152)</f>
        <v>0.9594100000000001</v>
      </c>
      <c r="I152" s="160">
        <f>I153+I154+I155+I156+I157+I158+I159</f>
        <v>0</v>
      </c>
      <c r="J152" s="160">
        <f>J153+J154+J155+J156+J157+J158+J159</f>
        <v>0</v>
      </c>
      <c r="K152" s="160">
        <f>K153+K154+K155+K156+K157+K158+K159</f>
        <v>0.35364</v>
      </c>
      <c r="L152" s="166">
        <f>L153+L154+L155+L156+L157+L158+L159</f>
        <v>0.60577</v>
      </c>
    </row>
    <row r="153" spans="1:12" ht="12.75">
      <c r="A153" s="79" t="s">
        <v>4</v>
      </c>
      <c r="B153" s="148">
        <f>SUM(C153:F153)</f>
        <v>0.5787490000000001</v>
      </c>
      <c r="C153" s="149"/>
      <c r="D153" s="150"/>
      <c r="E153" s="150">
        <v>0.187964</v>
      </c>
      <c r="F153" s="151">
        <v>0.39078500000000005</v>
      </c>
      <c r="H153" s="148">
        <f>SUM(I153:L153)</f>
        <v>0.5787490000000001</v>
      </c>
      <c r="I153" s="149"/>
      <c r="J153" s="150"/>
      <c r="K153" s="150">
        <v>0.187964</v>
      </c>
      <c r="L153" s="151">
        <v>0.39078500000000005</v>
      </c>
    </row>
    <row r="154" spans="1:12" ht="12.75">
      <c r="A154" s="79" t="s">
        <v>17</v>
      </c>
      <c r="B154" s="148">
        <f>SUM(C154:F154)</f>
        <v>0.237375</v>
      </c>
      <c r="C154" s="149"/>
      <c r="D154" s="150"/>
      <c r="E154" s="150">
        <v>0.162924</v>
      </c>
      <c r="F154" s="151">
        <v>0.07445099999999999</v>
      </c>
      <c r="H154" s="148">
        <f>SUM(I154:L154)</f>
        <v>0.237375</v>
      </c>
      <c r="I154" s="149"/>
      <c r="J154" s="150"/>
      <c r="K154" s="150">
        <v>0.162924</v>
      </c>
      <c r="L154" s="151">
        <v>0.07445099999999999</v>
      </c>
    </row>
    <row r="155" spans="1:12" ht="12.75">
      <c r="A155" s="79" t="s">
        <v>5</v>
      </c>
      <c r="B155" s="148">
        <f>SUM(C155:F155)</f>
        <v>0.141285</v>
      </c>
      <c r="C155" s="149"/>
      <c r="D155" s="150"/>
      <c r="E155" s="150">
        <v>0.001923</v>
      </c>
      <c r="F155" s="151">
        <v>0.13936199999999999</v>
      </c>
      <c r="H155" s="148">
        <f>SUM(I155:L155)</f>
        <v>0.141285</v>
      </c>
      <c r="I155" s="149"/>
      <c r="J155" s="150"/>
      <c r="K155" s="150">
        <v>0.001923</v>
      </c>
      <c r="L155" s="151">
        <v>0.13936199999999999</v>
      </c>
    </row>
    <row r="156" spans="1:12" ht="12.75">
      <c r="A156" s="79" t="s">
        <v>23</v>
      </c>
      <c r="B156" s="148">
        <f>SUM(C156:F156)</f>
        <v>0</v>
      </c>
      <c r="C156" s="149"/>
      <c r="D156" s="149"/>
      <c r="E156" s="149"/>
      <c r="F156" s="152"/>
      <c r="H156" s="148">
        <f>SUM(I156:L156)</f>
        <v>0</v>
      </c>
      <c r="I156" s="149"/>
      <c r="J156" s="149"/>
      <c r="K156" s="149"/>
      <c r="L156" s="152"/>
    </row>
    <row r="157" spans="1:12" ht="12.75">
      <c r="A157" s="79" t="s">
        <v>24</v>
      </c>
      <c r="B157" s="148">
        <f>SUM(C157:F157)</f>
        <v>0.001113</v>
      </c>
      <c r="C157" s="149"/>
      <c r="D157" s="149"/>
      <c r="E157" s="149"/>
      <c r="F157" s="152">
        <v>0.001113</v>
      </c>
      <c r="H157" s="148">
        <f>SUM(I157:L157)</f>
        <v>0.001113</v>
      </c>
      <c r="I157" s="149"/>
      <c r="J157" s="149"/>
      <c r="K157" s="149"/>
      <c r="L157" s="152">
        <v>0.001113</v>
      </c>
    </row>
    <row r="158" spans="1:12" ht="12.75">
      <c r="A158" s="79" t="s">
        <v>25</v>
      </c>
      <c r="B158" s="148">
        <f>SUM(C158:F158)</f>
        <v>0</v>
      </c>
      <c r="C158" s="149"/>
      <c r="D158" s="149"/>
      <c r="E158" s="149"/>
      <c r="F158" s="152"/>
      <c r="H158" s="148">
        <f>SUM(I158:L158)</f>
        <v>0</v>
      </c>
      <c r="I158" s="149"/>
      <c r="J158" s="149"/>
      <c r="K158" s="149"/>
      <c r="L158" s="152"/>
    </row>
    <row r="159" spans="1:12" ht="12.75">
      <c r="A159" s="79" t="s">
        <v>26</v>
      </c>
      <c r="B159" s="148">
        <f>SUM(C159:F159)</f>
        <v>0.000888</v>
      </c>
      <c r="C159" s="149"/>
      <c r="D159" s="149"/>
      <c r="E159" s="149">
        <v>0.000829</v>
      </c>
      <c r="F159" s="152">
        <v>5.9E-05</v>
      </c>
      <c r="H159" s="148">
        <f>SUM(I159:L159)</f>
        <v>0.000888</v>
      </c>
      <c r="I159" s="149"/>
      <c r="J159" s="149"/>
      <c r="K159" s="149">
        <v>0.000829</v>
      </c>
      <c r="L159" s="152">
        <v>5.9E-05</v>
      </c>
    </row>
    <row r="160" spans="1:12" ht="13.5">
      <c r="A160" s="78" t="s">
        <v>0</v>
      </c>
      <c r="B160" s="144">
        <f>SUM(C160:F160)</f>
        <v>0.744321</v>
      </c>
      <c r="C160" s="145"/>
      <c r="D160" s="146"/>
      <c r="E160" s="153">
        <v>0.632064</v>
      </c>
      <c r="F160" s="154">
        <v>0.112257</v>
      </c>
      <c r="H160" s="144">
        <f>SUM(I160:L160)</f>
        <v>0.763211</v>
      </c>
      <c r="I160" s="145"/>
      <c r="J160" s="146"/>
      <c r="K160" s="153">
        <v>0.632064</v>
      </c>
      <c r="L160" s="211">
        <v>0.131147</v>
      </c>
    </row>
    <row r="161" spans="1:12" ht="13.5">
      <c r="A161" s="78" t="s">
        <v>12</v>
      </c>
      <c r="B161" s="144">
        <f>SUM(C161:F161)</f>
        <v>0.26000100000000004</v>
      </c>
      <c r="C161" s="145">
        <f>C162</f>
        <v>0</v>
      </c>
      <c r="D161" s="146">
        <f>D162</f>
        <v>0</v>
      </c>
      <c r="E161" s="146">
        <f>E162</f>
        <v>0.246125</v>
      </c>
      <c r="F161" s="147">
        <f>F162</f>
        <v>0.013876</v>
      </c>
      <c r="H161" s="144">
        <f>SUM(I161:L161)</f>
        <v>0.26000100000000004</v>
      </c>
      <c r="I161" s="145">
        <f>I162</f>
        <v>0</v>
      </c>
      <c r="J161" s="146">
        <f>J162</f>
        <v>0</v>
      </c>
      <c r="K161" s="146">
        <f>K162</f>
        <v>0.246125</v>
      </c>
      <c r="L161" s="147">
        <f>L162</f>
        <v>0.013876</v>
      </c>
    </row>
    <row r="162" spans="1:12" ht="12.75">
      <c r="A162" s="79" t="s">
        <v>13</v>
      </c>
      <c r="B162" s="148">
        <f>SUM(C162:F162)</f>
        <v>0.26000100000000004</v>
      </c>
      <c r="C162" s="149"/>
      <c r="D162" s="150"/>
      <c r="E162" s="150">
        <v>0.246125</v>
      </c>
      <c r="F162" s="151">
        <v>0.013876</v>
      </c>
      <c r="H162" s="148">
        <f>SUM(I162:L162)</f>
        <v>0.26000100000000004</v>
      </c>
      <c r="I162" s="149"/>
      <c r="J162" s="150"/>
      <c r="K162" s="150">
        <v>0.246125</v>
      </c>
      <c r="L162" s="151">
        <v>0.013876</v>
      </c>
    </row>
    <row r="163" spans="1:12" ht="13.5" thickBot="1">
      <c r="A163" s="80" t="s">
        <v>14</v>
      </c>
      <c r="B163" s="155">
        <f>SUM(C163:F163)</f>
        <v>0.38099999999999995</v>
      </c>
      <c r="C163" s="156"/>
      <c r="D163" s="157"/>
      <c r="E163" s="157">
        <v>0.344</v>
      </c>
      <c r="F163" s="158">
        <v>0.037</v>
      </c>
      <c r="H163" s="155">
        <f>SUM(I163:L163)</f>
        <v>0.38099999999999995</v>
      </c>
      <c r="I163" s="156"/>
      <c r="J163" s="157"/>
      <c r="K163" s="157">
        <v>0.344</v>
      </c>
      <c r="L163" s="158">
        <v>0.037</v>
      </c>
    </row>
    <row r="164" spans="1:6" ht="13.5" thickBot="1">
      <c r="A164" s="72" t="s">
        <v>22</v>
      </c>
      <c r="B164" s="141">
        <f>SUM(C164:F164)</f>
        <v>2.632594</v>
      </c>
      <c r="C164" s="142">
        <f>C165+C173+C174</f>
        <v>0</v>
      </c>
      <c r="D164" s="142">
        <f>D165+D173+D174</f>
        <v>0</v>
      </c>
      <c r="E164" s="142">
        <f>E165+E173+E174</f>
        <v>1.498376</v>
      </c>
      <c r="F164" s="143">
        <f>F165+F173+F174</f>
        <v>1.1342180000000002</v>
      </c>
    </row>
    <row r="165" spans="1:12" ht="13.5">
      <c r="A165" s="78" t="s">
        <v>10</v>
      </c>
      <c r="B165" s="159">
        <f>SUM(C165:F165)</f>
        <v>1.509547</v>
      </c>
      <c r="C165" s="160">
        <f>C166+C167+C168+C169+C170+C171+C172</f>
        <v>0</v>
      </c>
      <c r="D165" s="160">
        <f>D166+D167+D168+D169+D170+D171+D172</f>
        <v>0</v>
      </c>
      <c r="E165" s="160">
        <f>E166+E167+E168+E169+E170+E171+E172</f>
        <v>0.6475229999999998</v>
      </c>
      <c r="F165" s="166">
        <f>F166+F167+F168+F169+F170+F171+F172</f>
        <v>0.8620240000000001</v>
      </c>
      <c r="H165" s="213"/>
      <c r="J165" s="180"/>
      <c r="K165" s="180"/>
      <c r="L165" s="180"/>
    </row>
    <row r="166" spans="1:12" ht="13.5">
      <c r="A166" s="78" t="s">
        <v>4</v>
      </c>
      <c r="B166" s="148">
        <f>SUM(C166:F166)</f>
        <v>1.066434</v>
      </c>
      <c r="C166" s="149"/>
      <c r="D166" s="150"/>
      <c r="E166" s="150">
        <v>0.40931</v>
      </c>
      <c r="F166" s="151">
        <v>0.657124</v>
      </c>
      <c r="H166" s="212"/>
      <c r="J166" s="180"/>
      <c r="K166" s="205"/>
      <c r="L166" s="180"/>
    </row>
    <row r="167" spans="1:12" ht="13.5">
      <c r="A167" s="78" t="s">
        <v>17</v>
      </c>
      <c r="B167" s="148">
        <f>SUM(C167:F167)</f>
        <v>0.391924</v>
      </c>
      <c r="C167" s="149"/>
      <c r="D167" s="150"/>
      <c r="E167" s="150">
        <v>0.223796</v>
      </c>
      <c r="F167" s="151">
        <v>0.168128</v>
      </c>
      <c r="H167" s="212"/>
      <c r="J167" s="180"/>
      <c r="K167" s="180"/>
      <c r="L167" s="180"/>
    </row>
    <row r="168" spans="1:12" ht="13.5">
      <c r="A168" s="78" t="s">
        <v>5</v>
      </c>
      <c r="B168" s="148">
        <f>SUM(C168:F168)</f>
        <v>0.042279</v>
      </c>
      <c r="C168" s="149"/>
      <c r="D168" s="150"/>
      <c r="E168" s="150">
        <v>0.005562</v>
      </c>
      <c r="F168" s="151">
        <v>0.036717</v>
      </c>
      <c r="H168" s="212"/>
      <c r="J168" s="180"/>
      <c r="K168" s="180"/>
      <c r="L168" s="180"/>
    </row>
    <row r="169" spans="1:12" ht="12.75">
      <c r="A169" s="79" t="s">
        <v>23</v>
      </c>
      <c r="B169" s="148">
        <f>SUM(C169:F169)</f>
        <v>0</v>
      </c>
      <c r="C169" s="149"/>
      <c r="D169" s="149"/>
      <c r="E169" s="149"/>
      <c r="F169" s="152"/>
      <c r="H169" s="212"/>
      <c r="J169" s="180"/>
      <c r="K169" s="180"/>
      <c r="L169" s="180"/>
    </row>
    <row r="170" spans="1:12" ht="12.75">
      <c r="A170" s="79" t="s">
        <v>24</v>
      </c>
      <c r="B170" s="148">
        <f>SUM(C170:F170)</f>
        <v>0.008423</v>
      </c>
      <c r="C170" s="149"/>
      <c r="D170" s="149"/>
      <c r="E170" s="149">
        <v>0.008423</v>
      </c>
      <c r="F170" s="152"/>
      <c r="H170" s="214"/>
      <c r="J170" s="180"/>
      <c r="K170" s="180"/>
      <c r="L170" s="180"/>
    </row>
    <row r="171" spans="1:12" ht="12.75">
      <c r="A171" s="79" t="s">
        <v>25</v>
      </c>
      <c r="B171" s="148">
        <f>SUM(C171:F171)</f>
        <v>0</v>
      </c>
      <c r="C171" s="149"/>
      <c r="D171" s="149"/>
      <c r="E171" s="149"/>
      <c r="F171" s="152"/>
      <c r="H171" s="212"/>
      <c r="J171" s="180"/>
      <c r="K171" s="180"/>
      <c r="L171" s="180"/>
    </row>
    <row r="172" spans="1:12" ht="12.75">
      <c r="A172" s="79" t="s">
        <v>26</v>
      </c>
      <c r="B172" s="148">
        <f>SUM(C172:F172)</f>
        <v>0.00048699999999999997</v>
      </c>
      <c r="C172" s="149"/>
      <c r="D172" s="149"/>
      <c r="E172" s="149">
        <v>0.000432</v>
      </c>
      <c r="F172" s="152">
        <v>5.5E-05</v>
      </c>
      <c r="H172" s="212"/>
      <c r="J172" s="180"/>
      <c r="K172" s="180"/>
      <c r="L172" s="180"/>
    </row>
    <row r="173" spans="1:12" ht="13.5">
      <c r="A173" s="78" t="s">
        <v>0</v>
      </c>
      <c r="B173" s="144">
        <f>SUM(C173:F173)</f>
        <v>0.974298</v>
      </c>
      <c r="C173" s="145"/>
      <c r="D173" s="146"/>
      <c r="E173" s="153">
        <v>0.790265</v>
      </c>
      <c r="F173" s="154">
        <v>0.184033</v>
      </c>
      <c r="H173" s="212"/>
      <c r="J173" s="180"/>
      <c r="K173" s="180"/>
      <c r="L173" s="180"/>
    </row>
    <row r="174" spans="1:12" ht="13.5">
      <c r="A174" s="78" t="s">
        <v>12</v>
      </c>
      <c r="B174" s="144">
        <f>SUM(C174:F174)</f>
        <v>0.14874900000000002</v>
      </c>
      <c r="C174" s="145">
        <f>C175</f>
        <v>0</v>
      </c>
      <c r="D174" s="146">
        <f>D175</f>
        <v>0</v>
      </c>
      <c r="E174" s="146">
        <f>E175</f>
        <v>0.060588</v>
      </c>
      <c r="F174" s="147">
        <f>F175</f>
        <v>0.088161</v>
      </c>
      <c r="H174" s="212"/>
      <c r="J174" s="180"/>
      <c r="K174" s="180"/>
      <c r="L174" s="180"/>
    </row>
    <row r="175" spans="1:12" ht="12.75">
      <c r="A175" s="79" t="s">
        <v>13</v>
      </c>
      <c r="B175" s="148">
        <f>SUM(C175:F175)</f>
        <v>0.14874900000000002</v>
      </c>
      <c r="C175" s="149"/>
      <c r="D175" s="150"/>
      <c r="E175" s="150">
        <v>0.060588</v>
      </c>
      <c r="F175" s="151">
        <v>0.088161</v>
      </c>
      <c r="H175" s="214"/>
      <c r="J175" s="180"/>
      <c r="K175" s="180"/>
      <c r="L175" s="180"/>
    </row>
    <row r="176" spans="1:12" ht="13.5" thickBot="1">
      <c r="A176" s="80" t="s">
        <v>14</v>
      </c>
      <c r="B176" s="155">
        <f>SUM(C176:F176)</f>
        <v>0.262</v>
      </c>
      <c r="C176" s="156"/>
      <c r="D176" s="157"/>
      <c r="E176" s="157">
        <v>0.11</v>
      </c>
      <c r="F176" s="158">
        <v>0.152</v>
      </c>
      <c r="H176" s="212"/>
      <c r="J176" s="180"/>
      <c r="K176" s="180"/>
      <c r="L176" s="180"/>
    </row>
    <row r="177" spans="1:12" ht="13.5" thickBot="1">
      <c r="A177" s="72" t="s">
        <v>36</v>
      </c>
      <c r="B177" s="141">
        <f>SUM(C177:F177)</f>
        <v>5.158709</v>
      </c>
      <c r="C177" s="142">
        <f>C178+C186+C187</f>
        <v>0</v>
      </c>
      <c r="D177" s="142">
        <f>D178+D186+D187</f>
        <v>0</v>
      </c>
      <c r="E177" s="142">
        <f>E178+E186+E187</f>
        <v>0.771901</v>
      </c>
      <c r="F177" s="143">
        <f>F178+F186+F187</f>
        <v>4.386808</v>
      </c>
      <c r="H177" s="212"/>
      <c r="J177" s="180"/>
      <c r="K177" s="180"/>
      <c r="L177" s="180"/>
    </row>
    <row r="178" spans="1:8" ht="13.5">
      <c r="A178" s="78" t="s">
        <v>10</v>
      </c>
      <c r="B178" s="159">
        <f>SUM(C178:F178)</f>
        <v>3.359671</v>
      </c>
      <c r="C178" s="160">
        <f>C179+C180+C181+C182+C183+C184+C185</f>
        <v>0</v>
      </c>
      <c r="D178" s="160">
        <f>D179+D180+D181+D182+D183+D184+D185</f>
        <v>0</v>
      </c>
      <c r="E178" s="160">
        <f>E179+E180+E181+E182+E183+E184+E185</f>
        <v>0.023357</v>
      </c>
      <c r="F178" s="166">
        <f>F179+F180+F181+F182+F183+F184+F185</f>
        <v>3.3363140000000002</v>
      </c>
      <c r="H178" s="212"/>
    </row>
    <row r="179" spans="1:8" ht="12.75">
      <c r="A179" s="79" t="s">
        <v>4</v>
      </c>
      <c r="B179" s="148">
        <f>SUM(C179:F179)</f>
        <v>0.322976</v>
      </c>
      <c r="C179" s="149"/>
      <c r="D179" s="150"/>
      <c r="E179" s="150">
        <v>0.00212</v>
      </c>
      <c r="F179" s="151">
        <v>0.320856</v>
      </c>
      <c r="H179" s="212"/>
    </row>
    <row r="180" spans="1:8" ht="12.75">
      <c r="A180" s="79" t="s">
        <v>17</v>
      </c>
      <c r="B180" s="148">
        <f>SUM(C180:F180)</f>
        <v>0</v>
      </c>
      <c r="C180" s="149"/>
      <c r="D180" s="150"/>
      <c r="E180" s="150"/>
      <c r="F180" s="151"/>
      <c r="H180" s="213"/>
    </row>
    <row r="181" spans="1:8" ht="12.75">
      <c r="A181" s="79" t="s">
        <v>5</v>
      </c>
      <c r="B181" s="148">
        <f>SUM(C181:F181)</f>
        <v>3.0308810000000004</v>
      </c>
      <c r="C181" s="149"/>
      <c r="D181" s="150"/>
      <c r="E181" s="150">
        <v>0.016821</v>
      </c>
      <c r="F181" s="151">
        <v>3.01406</v>
      </c>
      <c r="H181" s="180"/>
    </row>
    <row r="182" spans="1:8" ht="12.75">
      <c r="A182" s="79" t="s">
        <v>23</v>
      </c>
      <c r="B182" s="148">
        <f>SUM(C182:F182)</f>
        <v>0</v>
      </c>
      <c r="C182" s="149"/>
      <c r="D182" s="149"/>
      <c r="E182" s="149"/>
      <c r="F182" s="152"/>
      <c r="H182" s="180"/>
    </row>
    <row r="183" spans="1:8" ht="12.75">
      <c r="A183" s="79" t="s">
        <v>24</v>
      </c>
      <c r="B183" s="148">
        <f>SUM(C183:F183)</f>
        <v>0.005814</v>
      </c>
      <c r="C183" s="149"/>
      <c r="D183" s="149"/>
      <c r="E183" s="149">
        <v>0.004416</v>
      </c>
      <c r="F183" s="152">
        <v>0.001398</v>
      </c>
      <c r="H183" s="180"/>
    </row>
    <row r="184" spans="1:8" ht="12.75">
      <c r="A184" s="79" t="s">
        <v>25</v>
      </c>
      <c r="B184" s="148">
        <f>SUM(C184:F184)</f>
        <v>0</v>
      </c>
      <c r="C184" s="149"/>
      <c r="D184" s="149"/>
      <c r="E184" s="149"/>
      <c r="F184" s="152"/>
      <c r="H184" s="180"/>
    </row>
    <row r="185" spans="1:8" ht="12.75">
      <c r="A185" s="79" t="s">
        <v>26</v>
      </c>
      <c r="B185" s="148">
        <f>SUM(C185:F185)</f>
        <v>0</v>
      </c>
      <c r="C185" s="149"/>
      <c r="D185" s="149"/>
      <c r="E185" s="149"/>
      <c r="F185" s="152"/>
      <c r="H185" s="180"/>
    </row>
    <row r="186" spans="1:8" ht="13.5">
      <c r="A186" s="78" t="s">
        <v>0</v>
      </c>
      <c r="B186" s="144">
        <f>SUM(C186:F186)</f>
        <v>1.569755</v>
      </c>
      <c r="C186" s="145"/>
      <c r="D186" s="146"/>
      <c r="E186" s="153">
        <v>0.645919</v>
      </c>
      <c r="F186" s="154">
        <v>0.923836</v>
      </c>
      <c r="H186" s="180"/>
    </row>
    <row r="187" spans="1:8" ht="13.5">
      <c r="A187" s="82" t="s">
        <v>12</v>
      </c>
      <c r="B187" s="163">
        <f>SUM(C187:F187)</f>
        <v>0.229283</v>
      </c>
      <c r="C187" s="164">
        <f>C188</f>
        <v>0</v>
      </c>
      <c r="D187" s="153">
        <f>D188</f>
        <v>0</v>
      </c>
      <c r="E187" s="153">
        <f>E188</f>
        <v>0.102625</v>
      </c>
      <c r="F187" s="154">
        <f>F188</f>
        <v>0.126658</v>
      </c>
      <c r="H187" s="180"/>
    </row>
    <row r="188" spans="1:8" ht="12.75">
      <c r="A188" s="79" t="s">
        <v>13</v>
      </c>
      <c r="B188" s="148">
        <f>SUM(C188:F188)</f>
        <v>0.229283</v>
      </c>
      <c r="C188" s="149"/>
      <c r="D188" s="150"/>
      <c r="E188" s="150">
        <v>0.102625</v>
      </c>
      <c r="F188" s="151">
        <v>0.126658</v>
      </c>
      <c r="H188" s="180"/>
    </row>
    <row r="189" spans="1:8" ht="13.5" thickBot="1">
      <c r="A189" s="80" t="s">
        <v>14</v>
      </c>
      <c r="B189" s="155">
        <f>SUM(C189:F189)</f>
        <v>0.388</v>
      </c>
      <c r="C189" s="156"/>
      <c r="D189" s="157"/>
      <c r="E189" s="157">
        <v>0.174</v>
      </c>
      <c r="F189" s="158">
        <v>0.214</v>
      </c>
      <c r="H189" s="180"/>
    </row>
    <row r="190" spans="1:8" ht="13.5" thickBot="1">
      <c r="A190" s="72" t="s">
        <v>30</v>
      </c>
      <c r="B190" s="141">
        <f aca="true" t="shared" si="6" ref="B190:B199">SUM(C190:F190)</f>
        <v>0.34822500000000006</v>
      </c>
      <c r="C190" s="142">
        <f>C191+C199+C200</f>
        <v>0</v>
      </c>
      <c r="D190" s="142">
        <f>D191+D199+D200</f>
        <v>0</v>
      </c>
      <c r="E190" s="142">
        <f>E191+E199+E200</f>
        <v>0.32572100000000004</v>
      </c>
      <c r="F190" s="143">
        <f>F191+F199+F200</f>
        <v>0.022504</v>
      </c>
      <c r="H190" s="208"/>
    </row>
    <row r="191" spans="1:8" ht="13.5">
      <c r="A191" s="78" t="s">
        <v>10</v>
      </c>
      <c r="B191" s="159">
        <f t="shared" si="6"/>
        <v>0.022085</v>
      </c>
      <c r="C191" s="160">
        <f>C192+C193+C194+C195+C196+C197+C198</f>
        <v>0</v>
      </c>
      <c r="D191" s="160">
        <f>D192+D193+D194+D195+D196+D197+D198</f>
        <v>0</v>
      </c>
      <c r="E191" s="160">
        <f>E192+E193+E194+E195+E196+E197+E198</f>
        <v>2.5E-05</v>
      </c>
      <c r="F191" s="166">
        <f>F192+F193+F194+F195+F196+F197+F198</f>
        <v>0.02206</v>
      </c>
      <c r="H191" s="208"/>
    </row>
    <row r="192" spans="1:8" ht="12.75">
      <c r="A192" s="79" t="s">
        <v>4</v>
      </c>
      <c r="B192" s="148">
        <f t="shared" si="6"/>
        <v>0.01966</v>
      </c>
      <c r="C192" s="149"/>
      <c r="D192" s="150"/>
      <c r="E192" s="150"/>
      <c r="F192" s="151">
        <v>0.01966</v>
      </c>
      <c r="H192" s="208"/>
    </row>
    <row r="193" spans="1:6" ht="12.75">
      <c r="A193" s="79" t="s">
        <v>17</v>
      </c>
      <c r="B193" s="148">
        <f t="shared" si="6"/>
        <v>0</v>
      </c>
      <c r="C193" s="149"/>
      <c r="D193" s="150"/>
      <c r="E193" s="150"/>
      <c r="F193" s="151"/>
    </row>
    <row r="194" spans="1:6" ht="12.75">
      <c r="A194" s="79" t="s">
        <v>5</v>
      </c>
      <c r="B194" s="148">
        <f t="shared" si="6"/>
        <v>2.5E-05</v>
      </c>
      <c r="C194" s="149"/>
      <c r="D194" s="150"/>
      <c r="E194" s="150">
        <v>2.5E-05</v>
      </c>
      <c r="F194" s="151"/>
    </row>
    <row r="195" spans="1:6" ht="12.75">
      <c r="A195" s="79" t="s">
        <v>23</v>
      </c>
      <c r="B195" s="148">
        <f t="shared" si="6"/>
        <v>0</v>
      </c>
      <c r="C195" s="149"/>
      <c r="D195" s="149"/>
      <c r="E195" s="149"/>
      <c r="F195" s="152"/>
    </row>
    <row r="196" spans="1:6" ht="12.75">
      <c r="A196" s="79" t="s">
        <v>24</v>
      </c>
      <c r="B196" s="148">
        <f t="shared" si="6"/>
        <v>0</v>
      </c>
      <c r="C196" s="149"/>
      <c r="D196" s="149"/>
      <c r="E196" s="149"/>
      <c r="F196" s="152"/>
    </row>
    <row r="197" spans="1:6" ht="12.75">
      <c r="A197" s="79" t="s">
        <v>25</v>
      </c>
      <c r="B197" s="148">
        <f t="shared" si="6"/>
        <v>0</v>
      </c>
      <c r="C197" s="149"/>
      <c r="D197" s="149"/>
      <c r="E197" s="149"/>
      <c r="F197" s="152"/>
    </row>
    <row r="198" spans="1:6" ht="12.75">
      <c r="A198" s="79" t="s">
        <v>26</v>
      </c>
      <c r="B198" s="148">
        <f t="shared" si="6"/>
        <v>0.0024</v>
      </c>
      <c r="C198" s="149"/>
      <c r="D198" s="149"/>
      <c r="E198" s="149"/>
      <c r="F198" s="152">
        <v>0.0024</v>
      </c>
    </row>
    <row r="199" spans="1:6" ht="13.5">
      <c r="A199" s="83" t="s">
        <v>0</v>
      </c>
      <c r="B199" s="167">
        <f t="shared" si="6"/>
        <v>0.124114</v>
      </c>
      <c r="C199" s="164"/>
      <c r="D199" s="153"/>
      <c r="E199" s="153">
        <v>0.12367</v>
      </c>
      <c r="F199" s="154">
        <v>0.000444</v>
      </c>
    </row>
    <row r="200" spans="1:6" ht="13.5">
      <c r="A200" s="82" t="s">
        <v>12</v>
      </c>
      <c r="B200" s="163">
        <f>SUM(C200:F200)</f>
        <v>0.202026</v>
      </c>
      <c r="C200" s="164">
        <f>C201</f>
        <v>0</v>
      </c>
      <c r="D200" s="153">
        <f>D201</f>
        <v>0</v>
      </c>
      <c r="E200" s="153">
        <f>E201</f>
        <v>0.202026</v>
      </c>
      <c r="F200" s="154">
        <f>F201</f>
        <v>0</v>
      </c>
    </row>
    <row r="201" spans="1:6" ht="12.75">
      <c r="A201" s="79" t="s">
        <v>13</v>
      </c>
      <c r="B201" s="148">
        <f>SUM(C201:F201)</f>
        <v>0.202026</v>
      </c>
      <c r="C201" s="149"/>
      <c r="D201" s="150"/>
      <c r="E201" s="150">
        <v>0.202026</v>
      </c>
      <c r="F201" s="151"/>
    </row>
    <row r="202" spans="1:6" ht="13.5" thickBot="1">
      <c r="A202" s="80" t="s">
        <v>14</v>
      </c>
      <c r="B202" s="155">
        <f>SUM(C202:F202)</f>
        <v>0.346</v>
      </c>
      <c r="C202" s="156"/>
      <c r="D202" s="157"/>
      <c r="E202" s="157">
        <v>0.346</v>
      </c>
      <c r="F202" s="158"/>
    </row>
  </sheetData>
  <sheetProtection/>
  <mergeCells count="3">
    <mergeCell ref="B4:F4"/>
    <mergeCell ref="A5:A6"/>
    <mergeCell ref="B5:F5"/>
  </mergeCells>
  <conditionalFormatting sqref="C134 J14:J16 J85:J87 J124:J126 J128:J129">
    <cfRule type="containsText" priority="255" dxfId="273" operator="containsText" text="ложь">
      <formula>NOT(ISERROR(SEARCH("ложь",C14)))</formula>
    </cfRule>
  </conditionalFormatting>
  <conditionalFormatting sqref="K119">
    <cfRule type="containsText" priority="65" dxfId="273" operator="containsText" text="ложь">
      <formula>NOT(ISERROR(SEARCH("ложь",K119)))</formula>
    </cfRule>
  </conditionalFormatting>
  <conditionalFormatting sqref="K117">
    <cfRule type="containsText" priority="67" dxfId="273" operator="containsText" text="ложь">
      <formula>NOT(ISERROR(SEARCH("ложь",K117)))</formula>
    </cfRule>
  </conditionalFormatting>
  <conditionalFormatting sqref="L117">
    <cfRule type="containsText" priority="82" dxfId="273" operator="containsText" text="ложь">
      <formula>NOT(ISERROR(SEARCH("ложь",L117)))</formula>
    </cfRule>
  </conditionalFormatting>
  <conditionalFormatting sqref="L122">
    <cfRule type="containsText" priority="81" dxfId="273" operator="containsText" text="ложь">
      <formula>NOT(ISERROR(SEARCH("ложь",L122)))</formula>
    </cfRule>
  </conditionalFormatting>
  <conditionalFormatting sqref="L119">
    <cfRule type="containsText" priority="80" dxfId="273" operator="containsText" text="ложь">
      <formula>NOT(ISERROR(SEARCH("ложь",L119)))</formula>
    </cfRule>
  </conditionalFormatting>
  <conditionalFormatting sqref="L120">
    <cfRule type="containsText" priority="79" dxfId="273" operator="containsText" text="ложь">
      <formula>NOT(ISERROR(SEARCH("ложь",L120)))</formula>
    </cfRule>
  </conditionalFormatting>
  <conditionalFormatting sqref="L124">
    <cfRule type="containsText" priority="78" dxfId="273" operator="containsText" text="ложь">
      <formula>NOT(ISERROR(SEARCH("ложь",L124)))</formula>
    </cfRule>
  </conditionalFormatting>
  <conditionalFormatting sqref="L123">
    <cfRule type="containsText" priority="77" dxfId="273" operator="containsText" text="ложь">
      <formula>NOT(ISERROR(SEARCH("ложь",L123)))</formula>
    </cfRule>
  </conditionalFormatting>
  <conditionalFormatting sqref="J116">
    <cfRule type="containsText" priority="76" dxfId="273" operator="containsText" text="ложь">
      <formula>NOT(ISERROR(SEARCH("ложь",J116)))</formula>
    </cfRule>
  </conditionalFormatting>
  <conditionalFormatting sqref="J117">
    <cfRule type="containsText" priority="75" dxfId="273" operator="containsText" text="ложь">
      <formula>NOT(ISERROR(SEARCH("ложь",J117)))</formula>
    </cfRule>
  </conditionalFormatting>
  <conditionalFormatting sqref="J118">
    <cfRule type="containsText" priority="74" dxfId="273" operator="containsText" text="ложь">
      <formula>NOT(ISERROR(SEARCH("ложь",J118)))</formula>
    </cfRule>
  </conditionalFormatting>
  <conditionalFormatting sqref="J119">
    <cfRule type="containsText" priority="73" dxfId="273" operator="containsText" text="ложь">
      <formula>NOT(ISERROR(SEARCH("ложь",J119)))</formula>
    </cfRule>
  </conditionalFormatting>
  <conditionalFormatting sqref="J120">
    <cfRule type="containsText" priority="72" dxfId="273" operator="containsText" text="ложь">
      <formula>NOT(ISERROR(SEARCH("ложь",J120)))</formula>
    </cfRule>
  </conditionalFormatting>
  <conditionalFormatting sqref="J122">
    <cfRule type="containsText" priority="71" dxfId="273" operator="containsText" text="ложь">
      <formula>NOT(ISERROR(SEARCH("ложь",J122)))</formula>
    </cfRule>
  </conditionalFormatting>
  <conditionalFormatting sqref="J123">
    <cfRule type="containsText" priority="70" dxfId="273" operator="containsText" text="ложь">
      <formula>NOT(ISERROR(SEARCH("ложь",J123)))</formula>
    </cfRule>
  </conditionalFormatting>
  <conditionalFormatting sqref="K116">
    <cfRule type="containsText" priority="68" dxfId="273" operator="containsText" text="ложь">
      <formula>NOT(ISERROR(SEARCH("ложь",K116)))</formula>
    </cfRule>
  </conditionalFormatting>
  <conditionalFormatting sqref="K120">
    <cfRule type="containsText" priority="64" dxfId="273" operator="containsText" text="ложь">
      <formula>NOT(ISERROR(SEARCH("ложь",K120)))</formula>
    </cfRule>
  </conditionalFormatting>
  <conditionalFormatting sqref="K118">
    <cfRule type="containsText" priority="66" dxfId="273" operator="containsText" text="ложь">
      <formula>NOT(ISERROR(SEARCH("ложь",K118)))</formula>
    </cfRule>
  </conditionalFormatting>
  <conditionalFormatting sqref="K123">
    <cfRule type="containsText" priority="62" dxfId="273" operator="containsText" text="ложь">
      <formula>NOT(ISERROR(SEARCH("ложь",K123)))</formula>
    </cfRule>
  </conditionalFormatting>
  <conditionalFormatting sqref="K122">
    <cfRule type="containsText" priority="63" dxfId="273" operator="containsText" text="ложь">
      <formula>NOT(ISERROR(SEARCH("ложь",K122)))</formula>
    </cfRule>
  </conditionalFormatting>
  <conditionalFormatting sqref="K124">
    <cfRule type="containsText" priority="61" dxfId="273" operator="containsText" text="ложь">
      <formula>NOT(ISERROR(SEARCH("ложь",K124)))</formula>
    </cfRule>
  </conditionalFormatting>
  <conditionalFormatting sqref="L118 J121:L121 J112:L115">
    <cfRule type="containsText" priority="84" dxfId="273" operator="containsText" text="ложь">
      <formula>NOT(ISERROR(SEARCH("ложь",J112)))</formula>
    </cfRule>
  </conditionalFormatting>
  <conditionalFormatting sqref="L116">
    <cfRule type="containsText" priority="83" dxfId="273" operator="containsText" text="ложь">
      <formula>NOT(ISERROR(SEARCH("ложь",L116)))</formula>
    </cfRule>
  </conditionalFormatting>
  <conditionalFormatting sqref="K14:K25">
    <cfRule type="containsText" priority="34" dxfId="273" operator="containsText" text="ложь">
      <formula>NOT(ISERROR(SEARCH("ложь",K14)))</formula>
    </cfRule>
  </conditionalFormatting>
  <conditionalFormatting sqref="J172">
    <cfRule type="containsText" priority="13" dxfId="273" operator="containsText" text="ложь">
      <formula>NOT(ISERROR(SEARCH("ложь",J172)))</formula>
    </cfRule>
  </conditionalFormatting>
  <conditionalFormatting sqref="J28:J29">
    <cfRule type="containsText" priority="36" dxfId="273" operator="containsText" text="ложь">
      <formula>NOT(ISERROR(SEARCH("ложь",J28)))</formula>
    </cfRule>
  </conditionalFormatting>
  <conditionalFormatting sqref="J26:J27">
    <cfRule type="containsText" priority="35" dxfId="273" operator="containsText" text="ложь">
      <formula>NOT(ISERROR(SEARCH("ложь",J26)))</formula>
    </cfRule>
  </conditionalFormatting>
  <conditionalFormatting sqref="J170">
    <cfRule type="containsText" priority="15" dxfId="273" operator="containsText" text="ложь">
      <formula>NOT(ISERROR(SEARCH("ложь",J170)))</formula>
    </cfRule>
  </conditionalFormatting>
  <conditionalFormatting sqref="H180:H181 H183:H184 H186 H189">
    <cfRule type="containsText" priority="33" dxfId="273" operator="containsText" text="ложь">
      <formula>NOT(ISERROR(SEARCH("ложь",H180)))</formula>
    </cfRule>
  </conditionalFormatting>
  <conditionalFormatting sqref="H177 H179 H166:H175">
    <cfRule type="containsText" priority="32" dxfId="273" operator="containsText" text="ложь">
      <formula>NOT(ISERROR(SEARCH("ложь",H166)))</formula>
    </cfRule>
  </conditionalFormatting>
  <conditionalFormatting sqref="H165">
    <cfRule type="containsText" priority="31" dxfId="273" operator="containsText" text="ложь">
      <formula>NOT(ISERROR(SEARCH("ложь",H165)))</formula>
    </cfRule>
  </conditionalFormatting>
  <conditionalFormatting sqref="H176">
    <cfRule type="containsText" priority="30" dxfId="273" operator="containsText" text="ложь">
      <formula>NOT(ISERROR(SEARCH("ложь",H176)))</formula>
    </cfRule>
  </conditionalFormatting>
  <conditionalFormatting sqref="H178">
    <cfRule type="containsText" priority="29" dxfId="273" operator="containsText" text="ложь">
      <formula>NOT(ISERROR(SEARCH("ложь",H178)))</formula>
    </cfRule>
  </conditionalFormatting>
  <conditionalFormatting sqref="H182">
    <cfRule type="containsText" priority="28" dxfId="273" operator="containsText" text="ложь">
      <formula>NOT(ISERROR(SEARCH("ложь",H182)))</formula>
    </cfRule>
  </conditionalFormatting>
  <conditionalFormatting sqref="H185">
    <cfRule type="containsText" priority="27" dxfId="273" operator="containsText" text="ложь">
      <formula>NOT(ISERROR(SEARCH("ложь",H185)))</formula>
    </cfRule>
  </conditionalFormatting>
  <conditionalFormatting sqref="H187">
    <cfRule type="containsText" priority="26" dxfId="273" operator="containsText" text="ложь">
      <formula>NOT(ISERROR(SEARCH("ложь",H187)))</formula>
    </cfRule>
  </conditionalFormatting>
  <conditionalFormatting sqref="H188">
    <cfRule type="containsText" priority="25" dxfId="273" operator="containsText" text="ложь">
      <formula>NOT(ISERROR(SEARCH("ложь",H188)))</formula>
    </cfRule>
  </conditionalFormatting>
  <conditionalFormatting sqref="L171 J174:L174 J165:L168">
    <cfRule type="containsText" priority="24" dxfId="273" operator="containsText" text="ложь">
      <formula>NOT(ISERROR(SEARCH("ложь",J165)))</formula>
    </cfRule>
  </conditionalFormatting>
  <conditionalFormatting sqref="L169">
    <cfRule type="containsText" priority="23" dxfId="273" operator="containsText" text="ложь">
      <formula>NOT(ISERROR(SEARCH("ложь",L169)))</formula>
    </cfRule>
  </conditionalFormatting>
  <conditionalFormatting sqref="L170">
    <cfRule type="containsText" priority="22" dxfId="273" operator="containsText" text="ложь">
      <formula>NOT(ISERROR(SEARCH("ложь",L170)))</formula>
    </cfRule>
  </conditionalFormatting>
  <conditionalFormatting sqref="L175">
    <cfRule type="containsText" priority="21" dxfId="273" operator="containsText" text="ложь">
      <formula>NOT(ISERROR(SEARCH("ложь",L175)))</formula>
    </cfRule>
  </conditionalFormatting>
  <conditionalFormatting sqref="L172">
    <cfRule type="containsText" priority="20" dxfId="273" operator="containsText" text="ложь">
      <formula>NOT(ISERROR(SEARCH("ложь",L172)))</formula>
    </cfRule>
  </conditionalFormatting>
  <conditionalFormatting sqref="L173">
    <cfRule type="containsText" priority="19" dxfId="273" operator="containsText" text="ложь">
      <formula>NOT(ISERROR(SEARCH("ложь",L173)))</formula>
    </cfRule>
  </conditionalFormatting>
  <conditionalFormatting sqref="L177">
    <cfRule type="containsText" priority="18" dxfId="273" operator="containsText" text="ложь">
      <formula>NOT(ISERROR(SEARCH("ложь",L177)))</formula>
    </cfRule>
  </conditionalFormatting>
  <conditionalFormatting sqref="L176">
    <cfRule type="containsText" priority="17" dxfId="273" operator="containsText" text="ложь">
      <formula>NOT(ISERROR(SEARCH("ложь",L176)))</formula>
    </cfRule>
  </conditionalFormatting>
  <conditionalFormatting sqref="J169">
    <cfRule type="containsText" priority="16" dxfId="273" operator="containsText" text="ложь">
      <formula>NOT(ISERROR(SEARCH("ложь",J169)))</formula>
    </cfRule>
  </conditionalFormatting>
  <conditionalFormatting sqref="J171">
    <cfRule type="containsText" priority="14" dxfId="273" operator="containsText" text="ложь">
      <formula>NOT(ISERROR(SEARCH("ложь",J171)))</formula>
    </cfRule>
  </conditionalFormatting>
  <conditionalFormatting sqref="K175">
    <cfRule type="containsText" priority="3" dxfId="273" operator="containsText" text="ложь">
      <formula>NOT(ISERROR(SEARCH("ложь",K175)))</formula>
    </cfRule>
  </conditionalFormatting>
  <conditionalFormatting sqref="J173">
    <cfRule type="containsText" priority="12" dxfId="273" operator="containsText" text="ложь">
      <formula>NOT(ISERROR(SEARCH("ложь",J173)))</formula>
    </cfRule>
  </conditionalFormatting>
  <conditionalFormatting sqref="J175">
    <cfRule type="containsText" priority="11" dxfId="273" operator="containsText" text="ложь">
      <formula>NOT(ISERROR(SEARCH("ложь",J175)))</formula>
    </cfRule>
  </conditionalFormatting>
  <conditionalFormatting sqref="J176">
    <cfRule type="containsText" priority="10" dxfId="273" operator="containsText" text="ложь">
      <formula>NOT(ISERROR(SEARCH("ложь",J176)))</formula>
    </cfRule>
  </conditionalFormatting>
  <conditionalFormatting sqref="J177">
    <cfRule type="containsText" priority="9" dxfId="273" operator="containsText" text="ложь">
      <formula>NOT(ISERROR(SEARCH("ложь",J177)))</formula>
    </cfRule>
  </conditionalFormatting>
  <conditionalFormatting sqref="K169">
    <cfRule type="containsText" priority="8" dxfId="273" operator="containsText" text="ложь">
      <formula>NOT(ISERROR(SEARCH("ложь",K169)))</formula>
    </cfRule>
  </conditionalFormatting>
  <conditionalFormatting sqref="K170">
    <cfRule type="containsText" priority="7" dxfId="273" operator="containsText" text="ложь">
      <formula>NOT(ISERROR(SEARCH("ложь",K170)))</formula>
    </cfRule>
  </conditionalFormatting>
  <conditionalFormatting sqref="K171">
    <cfRule type="containsText" priority="6" dxfId="273" operator="containsText" text="ложь">
      <formula>NOT(ISERROR(SEARCH("ложь",K171)))</formula>
    </cfRule>
  </conditionalFormatting>
  <conditionalFormatting sqref="K172">
    <cfRule type="containsText" priority="5" dxfId="273" operator="containsText" text="ложь">
      <formula>NOT(ISERROR(SEARCH("ложь",K172)))</formula>
    </cfRule>
  </conditionalFormatting>
  <conditionalFormatting sqref="K173">
    <cfRule type="containsText" priority="4" dxfId="273" operator="containsText" text="ложь">
      <formula>NOT(ISERROR(SEARCH("ложь",K173)))</formula>
    </cfRule>
  </conditionalFormatting>
  <conditionalFormatting sqref="K176">
    <cfRule type="containsText" priority="2" dxfId="273" operator="containsText" text="ложь">
      <formula>NOT(ISERROR(SEARCH("ложь",K176)))</formula>
    </cfRule>
  </conditionalFormatting>
  <conditionalFormatting sqref="K177">
    <cfRule type="containsText" priority="1" dxfId="273" operator="containsText" text="ложь">
      <formula>NOT(ISERROR(SEARCH("ложь",K177)))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zoomScale="86" zoomScaleNormal="86" zoomScalePageLayoutView="0" workbookViewId="0" topLeftCell="A1">
      <selection activeCell="J36" sqref="J36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9.140625" style="1" customWidth="1"/>
    <col min="8" max="8" width="9.140625" style="208" customWidth="1"/>
    <col min="9" max="9" width="9.140625" style="195" customWidth="1"/>
    <col min="10" max="16384" width="9.140625" style="1" customWidth="1"/>
  </cols>
  <sheetData>
    <row r="1" spans="1:9" s="12" customFormat="1" ht="15.75">
      <c r="A1" s="9" t="s">
        <v>55</v>
      </c>
      <c r="B1" s="13"/>
      <c r="C1" s="14"/>
      <c r="D1" s="14"/>
      <c r="E1" s="14"/>
      <c r="F1" s="14"/>
      <c r="H1" s="206"/>
      <c r="I1" s="5"/>
    </row>
    <row r="2" spans="1:9" s="3" customFormat="1" ht="15.75" customHeight="1">
      <c r="A2" s="16" t="s">
        <v>37</v>
      </c>
      <c r="B2" s="11"/>
      <c r="C2" s="11"/>
      <c r="D2" s="11"/>
      <c r="E2" s="11"/>
      <c r="F2" s="11"/>
      <c r="H2" s="11"/>
      <c r="I2" s="4"/>
    </row>
    <row r="3" spans="1:9" s="3" customFormat="1" ht="15.75" customHeight="1" thickBot="1">
      <c r="A3" s="6"/>
      <c r="B3" s="10"/>
      <c r="C3" s="10"/>
      <c r="D3" s="10"/>
      <c r="E3" s="10"/>
      <c r="F3" s="10"/>
      <c r="H3" s="11"/>
      <c r="I3" s="4"/>
    </row>
    <row r="4" spans="1:9" s="2" customFormat="1" ht="15.75" customHeight="1" thickBot="1">
      <c r="A4" s="7"/>
      <c r="B4" s="256" t="s">
        <v>56</v>
      </c>
      <c r="C4" s="257"/>
      <c r="D4" s="257"/>
      <c r="E4" s="257"/>
      <c r="F4" s="258"/>
      <c r="H4" s="207"/>
      <c r="I4" s="196"/>
    </row>
    <row r="5" spans="1:9" s="2" customFormat="1" ht="15.75" customHeight="1" thickBot="1">
      <c r="A5" s="254" t="s">
        <v>8</v>
      </c>
      <c r="B5" s="259" t="s">
        <v>9</v>
      </c>
      <c r="C5" s="260"/>
      <c r="D5" s="260"/>
      <c r="E5" s="260"/>
      <c r="F5" s="261"/>
      <c r="H5" s="207"/>
      <c r="I5" s="196"/>
    </row>
    <row r="6" spans="1:9" s="2" customFormat="1" ht="15.75" customHeight="1" thickBot="1">
      <c r="A6" s="255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H6" s="207"/>
      <c r="I6" s="196"/>
    </row>
    <row r="7" spans="1:6" ht="18.75" customHeight="1" thickBot="1">
      <c r="A7" s="54" t="s">
        <v>31</v>
      </c>
      <c r="B7" s="44">
        <f aca="true" t="shared" si="0" ref="B7:F19">B31+B47+B60+B73+B86+B99+B112+B125+B138+B151+B164+B177+B190</f>
        <v>100.039605</v>
      </c>
      <c r="C7" s="45">
        <f t="shared" si="0"/>
        <v>29.789746999999995</v>
      </c>
      <c r="D7" s="45">
        <f t="shared" si="0"/>
        <v>0.812836</v>
      </c>
      <c r="E7" s="46">
        <f t="shared" si="0"/>
        <v>28.540088</v>
      </c>
      <c r="F7" s="46">
        <f>F8+F16+F20+F17</f>
        <v>40.896933999999995</v>
      </c>
    </row>
    <row r="8" spans="1:6" ht="13.5">
      <c r="A8" s="55" t="s">
        <v>10</v>
      </c>
      <c r="B8" s="17">
        <f>SUM(C8:F8)</f>
        <v>32.136748999999995</v>
      </c>
      <c r="C8" s="18">
        <f>C9+C10+C11+C12+C13+C14+C15</f>
        <v>0.07656700000000001</v>
      </c>
      <c r="D8" s="18">
        <f>D9+D10+D11+D12+D13+D14+D15</f>
        <v>0.0009</v>
      </c>
      <c r="E8" s="18">
        <f>E9+E10+E11+E12+E13+E14+E15</f>
        <v>2.176411</v>
      </c>
      <c r="F8" s="19">
        <f>F9+F10+F11+F12+F13+F14+F15</f>
        <v>29.882870999999994</v>
      </c>
    </row>
    <row r="9" spans="1:6" ht="12.75">
      <c r="A9" s="56" t="s">
        <v>4</v>
      </c>
      <c r="B9" s="20">
        <f>SUM(C9:F9)</f>
        <v>11.980185999999998</v>
      </c>
      <c r="C9" s="21">
        <f>C33+C49+C62+C75+C88+C101+C114+C127+C140+C153+C166+C179+C192</f>
        <v>0.004759</v>
      </c>
      <c r="D9" s="21">
        <f t="shared" si="0"/>
        <v>0</v>
      </c>
      <c r="E9" s="21">
        <f t="shared" si="0"/>
        <v>1.0816569999999999</v>
      </c>
      <c r="F9" s="22">
        <f t="shared" si="0"/>
        <v>10.893769999999998</v>
      </c>
    </row>
    <row r="10" spans="1:6" ht="12.75">
      <c r="A10" s="56" t="s">
        <v>11</v>
      </c>
      <c r="B10" s="20">
        <f>SUM(C10:F10)</f>
        <v>0.919568</v>
      </c>
      <c r="C10" s="21">
        <f t="shared" si="0"/>
        <v>0</v>
      </c>
      <c r="D10" s="21">
        <f t="shared" si="0"/>
        <v>0</v>
      </c>
      <c r="E10" s="21">
        <f t="shared" si="0"/>
        <v>0.47490600000000005</v>
      </c>
      <c r="F10" s="22">
        <f t="shared" si="0"/>
        <v>0.444662</v>
      </c>
    </row>
    <row r="11" spans="1:6" ht="12.75">
      <c r="A11" s="56" t="s">
        <v>5</v>
      </c>
      <c r="B11" s="20">
        <f>SUM(C11:F11)</f>
        <v>18.860291999999998</v>
      </c>
      <c r="C11" s="21">
        <f t="shared" si="0"/>
        <v>0.015519000000000002</v>
      </c>
      <c r="D11" s="21">
        <f t="shared" si="0"/>
        <v>0.0009</v>
      </c>
      <c r="E11" s="21">
        <f t="shared" si="0"/>
        <v>0.362402</v>
      </c>
      <c r="F11" s="22">
        <f t="shared" si="0"/>
        <v>18.481471</v>
      </c>
    </row>
    <row r="12" spans="1:6" ht="12.75">
      <c r="A12" s="56" t="s">
        <v>23</v>
      </c>
      <c r="B12" s="20">
        <f aca="true" t="shared" si="1" ref="B12:B22">SUM(C12:F12)</f>
        <v>0.007976</v>
      </c>
      <c r="C12" s="21">
        <f t="shared" si="0"/>
        <v>0</v>
      </c>
      <c r="D12" s="21">
        <f t="shared" si="0"/>
        <v>0</v>
      </c>
      <c r="E12" s="21">
        <f t="shared" si="0"/>
        <v>0.007976</v>
      </c>
      <c r="F12" s="22">
        <f t="shared" si="0"/>
        <v>0</v>
      </c>
    </row>
    <row r="13" spans="1:6" ht="12.75">
      <c r="A13" s="56" t="s">
        <v>24</v>
      </c>
      <c r="B13" s="20">
        <f t="shared" si="1"/>
        <v>0.148857</v>
      </c>
      <c r="C13" s="21">
        <f t="shared" si="0"/>
        <v>0</v>
      </c>
      <c r="D13" s="21">
        <f t="shared" si="0"/>
        <v>0</v>
      </c>
      <c r="E13" s="21">
        <f t="shared" si="0"/>
        <v>0.130294</v>
      </c>
      <c r="F13" s="22">
        <f t="shared" si="0"/>
        <v>0.018563</v>
      </c>
    </row>
    <row r="14" spans="1:6" ht="12.75">
      <c r="A14" s="56" t="s">
        <v>25</v>
      </c>
      <c r="B14" s="20">
        <f t="shared" si="1"/>
        <v>0.204374</v>
      </c>
      <c r="C14" s="21">
        <f t="shared" si="0"/>
        <v>0.051776</v>
      </c>
      <c r="D14" s="21">
        <f t="shared" si="0"/>
        <v>0</v>
      </c>
      <c r="E14" s="21">
        <f t="shared" si="0"/>
        <v>0.112336</v>
      </c>
      <c r="F14" s="22">
        <f t="shared" si="0"/>
        <v>0.040262</v>
      </c>
    </row>
    <row r="15" spans="1:6" ht="12.75">
      <c r="A15" s="56" t="s">
        <v>26</v>
      </c>
      <c r="B15" s="20">
        <f t="shared" si="1"/>
        <v>0.015496</v>
      </c>
      <c r="C15" s="21">
        <f t="shared" si="0"/>
        <v>0.004513</v>
      </c>
      <c r="D15" s="21">
        <f t="shared" si="0"/>
        <v>0</v>
      </c>
      <c r="E15" s="21">
        <f t="shared" si="0"/>
        <v>0.00684</v>
      </c>
      <c r="F15" s="22">
        <f t="shared" si="0"/>
        <v>0.004143000000000001</v>
      </c>
    </row>
    <row r="16" spans="1:6" ht="13.5">
      <c r="A16" s="55" t="s">
        <v>0</v>
      </c>
      <c r="B16" s="23">
        <f t="shared" si="1"/>
        <v>42.557045</v>
      </c>
      <c r="C16" s="202">
        <f t="shared" si="0"/>
        <v>15.839346</v>
      </c>
      <c r="D16" s="202">
        <f t="shared" si="0"/>
        <v>0.657236</v>
      </c>
      <c r="E16" s="202">
        <f t="shared" si="0"/>
        <v>16.184987000000003</v>
      </c>
      <c r="F16" s="203">
        <f t="shared" si="0"/>
        <v>9.875476</v>
      </c>
    </row>
    <row r="17" spans="1:6" ht="13.5">
      <c r="A17" s="55" t="s">
        <v>12</v>
      </c>
      <c r="B17" s="23">
        <f t="shared" si="1"/>
        <v>24.119274</v>
      </c>
      <c r="C17" s="24">
        <f t="shared" si="0"/>
        <v>12.647297</v>
      </c>
      <c r="D17" s="24">
        <f t="shared" si="0"/>
        <v>0.1547</v>
      </c>
      <c r="E17" s="24">
        <f t="shared" si="0"/>
        <v>10.17869</v>
      </c>
      <c r="F17" s="25">
        <f t="shared" si="0"/>
        <v>1.138587</v>
      </c>
    </row>
    <row r="18" spans="1:6" ht="13.5">
      <c r="A18" s="56" t="s">
        <v>13</v>
      </c>
      <c r="B18" s="204">
        <f t="shared" si="1"/>
        <v>24.119274</v>
      </c>
      <c r="C18" s="24">
        <f t="shared" si="0"/>
        <v>12.647297</v>
      </c>
      <c r="D18" s="24">
        <f t="shared" si="0"/>
        <v>0.1547</v>
      </c>
      <c r="E18" s="24">
        <f t="shared" si="0"/>
        <v>10.17869</v>
      </c>
      <c r="F18" s="25">
        <f t="shared" si="0"/>
        <v>1.138587</v>
      </c>
    </row>
    <row r="19" spans="1:6" ht="12.75">
      <c r="A19" s="57" t="s">
        <v>14</v>
      </c>
      <c r="B19" s="58">
        <f>SUM(C19:F19)</f>
        <v>35.734</v>
      </c>
      <c r="C19" s="21">
        <f t="shared" si="0"/>
        <v>16.867</v>
      </c>
      <c r="D19" s="21">
        <f t="shared" si="0"/>
        <v>0.277</v>
      </c>
      <c r="E19" s="21">
        <f t="shared" si="0"/>
        <v>16.57</v>
      </c>
      <c r="F19" s="22">
        <f t="shared" si="0"/>
        <v>2.02</v>
      </c>
    </row>
    <row r="20" spans="1:6" ht="13.5">
      <c r="A20" s="55" t="s">
        <v>15</v>
      </c>
      <c r="B20" s="23">
        <f t="shared" si="1"/>
        <v>1.226537</v>
      </c>
      <c r="C20" s="24">
        <f>C21</f>
        <v>1.226537</v>
      </c>
      <c r="D20" s="26"/>
      <c r="E20" s="26"/>
      <c r="F20" s="27"/>
    </row>
    <row r="21" spans="1:6" ht="12.75">
      <c r="A21" s="56" t="s">
        <v>13</v>
      </c>
      <c r="B21" s="20">
        <f t="shared" si="1"/>
        <v>1.226537</v>
      </c>
      <c r="C21" s="21">
        <f>C45</f>
        <v>1.226537</v>
      </c>
      <c r="D21" s="28"/>
      <c r="E21" s="28"/>
      <c r="F21" s="29"/>
    </row>
    <row r="22" spans="1:6" ht="12.75">
      <c r="A22" s="60" t="s">
        <v>16</v>
      </c>
      <c r="B22" s="58">
        <f t="shared" si="1"/>
        <v>2.56</v>
      </c>
      <c r="C22" s="59">
        <f>C46</f>
        <v>2.56</v>
      </c>
      <c r="D22" s="30"/>
      <c r="E22" s="30"/>
      <c r="F22" s="31"/>
    </row>
    <row r="23" spans="1:6" ht="13.5">
      <c r="A23" s="55" t="s">
        <v>32</v>
      </c>
      <c r="B23" s="23">
        <f>SUM(C23:F23)</f>
        <v>2.425036</v>
      </c>
      <c r="C23" s="24">
        <f>C24</f>
        <v>2.425036</v>
      </c>
      <c r="D23" s="26">
        <f>D24</f>
        <v>0</v>
      </c>
      <c r="E23" s="26">
        <f>E24</f>
        <v>0</v>
      </c>
      <c r="F23" s="27">
        <f>F24</f>
        <v>0</v>
      </c>
    </row>
    <row r="24" spans="1:6" ht="12.75">
      <c r="A24" s="56" t="s">
        <v>13</v>
      </c>
      <c r="B24" s="20">
        <f>SUM(C24:F24)</f>
        <v>2.425036</v>
      </c>
      <c r="C24" s="21">
        <f>C58</f>
        <v>2.425036</v>
      </c>
      <c r="D24" s="28"/>
      <c r="E24" s="28"/>
      <c r="F24" s="29"/>
    </row>
    <row r="25" spans="1:6" ht="12.75" customHeight="1" thickBot="1">
      <c r="A25" s="61" t="s">
        <v>14</v>
      </c>
      <c r="B25" s="32">
        <f>SUM(C25:F25)</f>
        <v>5.416</v>
      </c>
      <c r="C25" s="62">
        <f>C59</f>
        <v>5.416</v>
      </c>
      <c r="D25" s="33"/>
      <c r="E25" s="33"/>
      <c r="F25" s="34"/>
    </row>
    <row r="26" spans="1:6" ht="12.75" customHeight="1" hidden="1" thickBot="1">
      <c r="A26" s="88"/>
      <c r="B26" s="89"/>
      <c r="C26" s="90"/>
      <c r="D26" s="91"/>
      <c r="E26" s="91"/>
      <c r="F26" s="92"/>
    </row>
    <row r="27" spans="1:6" ht="12.75" customHeight="1" hidden="1" thickBot="1">
      <c r="A27" s="93"/>
      <c r="B27" s="94"/>
      <c r="C27" s="95"/>
      <c r="D27" s="96"/>
      <c r="E27" s="96"/>
      <c r="F27" s="97"/>
    </row>
    <row r="28" spans="1:6" ht="12.75" customHeight="1" hidden="1" thickBot="1">
      <c r="A28" s="98"/>
      <c r="B28" s="99"/>
      <c r="C28" s="100"/>
      <c r="D28" s="101"/>
      <c r="E28" s="101"/>
      <c r="F28" s="102"/>
    </row>
    <row r="29" spans="1:6" ht="12.75" customHeight="1" hidden="1" thickBot="1">
      <c r="A29" s="103"/>
      <c r="B29" s="104"/>
      <c r="C29" s="105"/>
      <c r="D29" s="106"/>
      <c r="E29" s="107"/>
      <c r="F29" s="108"/>
    </row>
    <row r="30" spans="1:6" ht="12.75" customHeight="1" hidden="1" thickBot="1">
      <c r="A30" s="109"/>
      <c r="B30" s="110"/>
      <c r="C30" s="111"/>
      <c r="D30" s="112"/>
      <c r="E30" s="112"/>
      <c r="F30" s="113"/>
    </row>
    <row r="31" spans="1:6" ht="13.5" customHeight="1" thickBot="1">
      <c r="A31" s="63" t="s">
        <v>39</v>
      </c>
      <c r="B31" s="227">
        <f>SUM(C31:F31)</f>
        <v>59.82657</v>
      </c>
      <c r="C31" s="174">
        <f>C32+C40+C44+C41</f>
        <v>14.514444</v>
      </c>
      <c r="D31" s="174">
        <f>D32+D40+D44+D41</f>
        <v>0.664641</v>
      </c>
      <c r="E31" s="174">
        <f>E32+E40+E44+E41</f>
        <v>17.933669000000002</v>
      </c>
      <c r="F31" s="175">
        <f>F32+F40+F44+F41</f>
        <v>26.713815999999994</v>
      </c>
    </row>
    <row r="32" spans="1:6" ht="12.75" customHeight="1">
      <c r="A32" s="55" t="s">
        <v>10</v>
      </c>
      <c r="B32" s="228">
        <f>SUM(C32:F32)</f>
        <v>20.004889</v>
      </c>
      <c r="C32" s="229">
        <f>C33+C34+C35+C36+C37+C38+C39</f>
        <v>0.024235</v>
      </c>
      <c r="D32" s="229">
        <f>D33+D34+D35+D36+D37+D38+D39</f>
        <v>0.0009</v>
      </c>
      <c r="E32" s="229">
        <f>E33+E34+E35+E36+E37+E38+E39</f>
        <v>0.680801</v>
      </c>
      <c r="F32" s="230">
        <f>F33+F34+F35+F36+F37+F38+F39</f>
        <v>19.298952999999997</v>
      </c>
    </row>
    <row r="33" spans="1:6" ht="12.75" customHeight="1">
      <c r="A33" s="56" t="s">
        <v>4</v>
      </c>
      <c r="B33" s="231">
        <f>SUM(C33:F33)</f>
        <v>5.20711</v>
      </c>
      <c r="C33" s="67">
        <v>0.004759</v>
      </c>
      <c r="D33" s="67"/>
      <c r="E33" s="67">
        <f>0.019329+0.191651</f>
        <v>0.21098</v>
      </c>
      <c r="F33" s="68">
        <f>0.013444+4.977927</f>
        <v>4.991371</v>
      </c>
    </row>
    <row r="34" spans="1:6" ht="12.75" customHeight="1">
      <c r="A34" s="56" t="s">
        <v>11</v>
      </c>
      <c r="B34" s="231">
        <f>SUM(C34:F34)</f>
        <v>0.080485</v>
      </c>
      <c r="C34" s="67"/>
      <c r="D34" s="67"/>
      <c r="E34" s="67">
        <v>0.01776</v>
      </c>
      <c r="F34" s="68">
        <f>0.001758+0.060967</f>
        <v>0.062725</v>
      </c>
    </row>
    <row r="35" spans="1:6" ht="12.75" customHeight="1">
      <c r="A35" s="56" t="s">
        <v>5</v>
      </c>
      <c r="B35" s="231">
        <f>SUM(C35:F35)</f>
        <v>14.532069</v>
      </c>
      <c r="C35" s="67">
        <f>0.000379+0.01514</f>
        <v>0.015519000000000002</v>
      </c>
      <c r="D35" s="67">
        <v>0.0009</v>
      </c>
      <c r="E35" s="67">
        <f>0.046628+0.272005</f>
        <v>0.318633</v>
      </c>
      <c r="F35" s="68">
        <f>0.007752+14.189265</f>
        <v>14.197017</v>
      </c>
    </row>
    <row r="36" spans="1:6" ht="12.75" customHeight="1">
      <c r="A36" s="56" t="s">
        <v>23</v>
      </c>
      <c r="B36" s="231">
        <f>SUM(C36:F36)</f>
        <v>0.007976</v>
      </c>
      <c r="C36" s="67"/>
      <c r="D36" s="67"/>
      <c r="E36" s="67">
        <v>0.007976</v>
      </c>
      <c r="F36" s="68"/>
    </row>
    <row r="37" spans="1:6" ht="12.75" customHeight="1">
      <c r="A37" s="56" t="s">
        <v>24</v>
      </c>
      <c r="B37" s="231">
        <f>SUM(C37:F37)</f>
        <v>0.126615</v>
      </c>
      <c r="C37" s="67"/>
      <c r="D37" s="67"/>
      <c r="E37" s="67">
        <v>0.119987</v>
      </c>
      <c r="F37" s="68">
        <v>0.006628</v>
      </c>
    </row>
    <row r="38" spans="1:6" ht="12.75" customHeight="1">
      <c r="A38" s="56" t="s">
        <v>25</v>
      </c>
      <c r="B38" s="231">
        <f>SUM(C38:F38)</f>
        <v>0.040262</v>
      </c>
      <c r="C38" s="67"/>
      <c r="D38" s="67"/>
      <c r="E38" s="67"/>
      <c r="F38" s="68">
        <v>0.040262</v>
      </c>
    </row>
    <row r="39" spans="1:6" ht="12.75" customHeight="1">
      <c r="A39" s="56" t="s">
        <v>26</v>
      </c>
      <c r="B39" s="231">
        <f>SUM(C39:F39)</f>
        <v>0.010372</v>
      </c>
      <c r="C39" s="67">
        <v>0.003957</v>
      </c>
      <c r="D39" s="67"/>
      <c r="E39" s="67">
        <v>0.005465</v>
      </c>
      <c r="F39" s="68">
        <v>0.00095</v>
      </c>
    </row>
    <row r="40" spans="1:6" ht="12.75" customHeight="1">
      <c r="A40" s="55" t="s">
        <v>0</v>
      </c>
      <c r="B40" s="232">
        <f aca="true" t="shared" si="2" ref="B40:B51">SUM(C40:F40)</f>
        <v>24.743473</v>
      </c>
      <c r="C40" s="69">
        <f>0.452502+7.846108</f>
        <v>8.29861</v>
      </c>
      <c r="D40" s="69">
        <f>0.034302+0.474739</f>
        <v>0.5090410000000001</v>
      </c>
      <c r="E40" s="69">
        <f>0.763467+8.499953</f>
        <v>9.26342</v>
      </c>
      <c r="F40" s="233">
        <f>0.444339+6.228063</f>
        <v>6.672402</v>
      </c>
    </row>
    <row r="41" spans="1:6" ht="12.75" customHeight="1">
      <c r="A41" s="55" t="s">
        <v>12</v>
      </c>
      <c r="B41" s="232">
        <f t="shared" si="2"/>
        <v>13.851671000000001</v>
      </c>
      <c r="C41" s="69">
        <f>C42</f>
        <v>4.965062</v>
      </c>
      <c r="D41" s="69">
        <f>D42</f>
        <v>0.1547</v>
      </c>
      <c r="E41" s="69">
        <f>E42</f>
        <v>7.989448</v>
      </c>
      <c r="F41" s="233">
        <f>F42</f>
        <v>0.742461</v>
      </c>
    </row>
    <row r="42" spans="1:6" ht="12.75" customHeight="1">
      <c r="A42" s="56" t="s">
        <v>13</v>
      </c>
      <c r="B42" s="231">
        <f t="shared" si="2"/>
        <v>13.851671000000001</v>
      </c>
      <c r="C42" s="67">
        <f>6.191599-C44</f>
        <v>4.965062</v>
      </c>
      <c r="D42" s="81">
        <v>0.1547</v>
      </c>
      <c r="E42" s="69">
        <v>7.989448</v>
      </c>
      <c r="F42" s="234">
        <f>0.742461+0</f>
        <v>0.742461</v>
      </c>
    </row>
    <row r="43" spans="1:6" ht="12.75" customHeight="1">
      <c r="A43" s="57" t="s">
        <v>14</v>
      </c>
      <c r="B43" s="235">
        <f t="shared" si="2"/>
        <v>19.282</v>
      </c>
      <c r="C43" s="236">
        <f>4.067+1.653</f>
        <v>5.720000000000001</v>
      </c>
      <c r="D43" s="237">
        <v>0.277</v>
      </c>
      <c r="E43" s="237">
        <f>11.098+0.787</f>
        <v>11.885000000000002</v>
      </c>
      <c r="F43" s="238">
        <f>1.174+0.226</f>
        <v>1.4</v>
      </c>
    </row>
    <row r="44" spans="1:6" ht="12.75" customHeight="1">
      <c r="A44" s="55" t="s">
        <v>15</v>
      </c>
      <c r="B44" s="232">
        <f t="shared" si="2"/>
        <v>1.226537</v>
      </c>
      <c r="C44" s="69">
        <f>C45</f>
        <v>1.226537</v>
      </c>
      <c r="D44" s="70">
        <f>D45</f>
        <v>0</v>
      </c>
      <c r="E44" s="70">
        <f>E45</f>
        <v>0</v>
      </c>
      <c r="F44" s="239">
        <f>F45</f>
        <v>0</v>
      </c>
    </row>
    <row r="45" spans="1:6" ht="12.75" customHeight="1">
      <c r="A45" s="56" t="s">
        <v>13</v>
      </c>
      <c r="B45" s="231">
        <f t="shared" si="2"/>
        <v>1.226537</v>
      </c>
      <c r="C45" s="67">
        <v>1.226537</v>
      </c>
      <c r="D45" s="81"/>
      <c r="E45" s="81"/>
      <c r="F45" s="240"/>
    </row>
    <row r="46" spans="1:6" ht="12.75" customHeight="1" thickBot="1">
      <c r="A46" s="60" t="s">
        <v>14</v>
      </c>
      <c r="B46" s="241">
        <f t="shared" si="2"/>
        <v>2.56</v>
      </c>
      <c r="C46" s="242">
        <v>2.56</v>
      </c>
      <c r="D46" s="243"/>
      <c r="E46" s="243"/>
      <c r="F46" s="244"/>
    </row>
    <row r="47" spans="1:6" ht="12.75" customHeight="1" thickBot="1">
      <c r="A47" s="72" t="s">
        <v>42</v>
      </c>
      <c r="B47" s="44">
        <f t="shared" si="2"/>
        <v>2.425036</v>
      </c>
      <c r="C47" s="45">
        <f>C48+C56+C57</f>
        <v>2.425036</v>
      </c>
      <c r="D47" s="45">
        <f>D48+D56+D57</f>
        <v>0</v>
      </c>
      <c r="E47" s="45">
        <f>E48+E56+E57</f>
        <v>0</v>
      </c>
      <c r="F47" s="46">
        <f>F48+F56+F57</f>
        <v>0</v>
      </c>
    </row>
    <row r="48" spans="1:6" ht="12.75" customHeight="1">
      <c r="A48" s="55" t="s">
        <v>10</v>
      </c>
      <c r="B48" s="17">
        <f t="shared" si="2"/>
        <v>0</v>
      </c>
      <c r="C48" s="18">
        <f>C49+C50+C51+C52+C53+C54+C55</f>
        <v>0</v>
      </c>
      <c r="D48" s="18">
        <f>D49+D50+D51+D52+D53+D54+D55</f>
        <v>0</v>
      </c>
      <c r="E48" s="18">
        <f>E49+E50+E51+E52+E53+E54+E55</f>
        <v>0</v>
      </c>
      <c r="F48" s="19">
        <f>F49+F50+F51+F52+F53+F54+F55</f>
        <v>0</v>
      </c>
    </row>
    <row r="49" spans="1:6" ht="12.75" customHeight="1">
      <c r="A49" s="56" t="s">
        <v>4</v>
      </c>
      <c r="B49" s="35">
        <f t="shared" si="2"/>
        <v>0</v>
      </c>
      <c r="C49" s="36"/>
      <c r="D49" s="40"/>
      <c r="E49" s="40"/>
      <c r="F49" s="47"/>
    </row>
    <row r="50" spans="1:6" ht="12.75" customHeight="1">
      <c r="A50" s="56" t="s">
        <v>17</v>
      </c>
      <c r="B50" s="35">
        <f t="shared" si="2"/>
        <v>0</v>
      </c>
      <c r="C50" s="36"/>
      <c r="D50" s="40"/>
      <c r="E50" s="40"/>
      <c r="F50" s="47"/>
    </row>
    <row r="51" spans="1:6" ht="12.75" customHeight="1">
      <c r="A51" s="56" t="s">
        <v>5</v>
      </c>
      <c r="B51" s="35">
        <f t="shared" si="2"/>
        <v>0</v>
      </c>
      <c r="C51" s="36"/>
      <c r="D51" s="40"/>
      <c r="E51" s="40"/>
      <c r="F51" s="47"/>
    </row>
    <row r="52" spans="1:6" ht="12.75" customHeight="1">
      <c r="A52" s="56" t="s">
        <v>23</v>
      </c>
      <c r="B52" s="35">
        <f>SUM(C52:F52)</f>
        <v>0</v>
      </c>
      <c r="C52" s="36"/>
      <c r="D52" s="36"/>
      <c r="E52" s="36"/>
      <c r="F52" s="48"/>
    </row>
    <row r="53" spans="1:6" ht="12.75" customHeight="1">
      <c r="A53" s="56" t="s">
        <v>24</v>
      </c>
      <c r="B53" s="35">
        <f>SUM(C53:F53)</f>
        <v>0</v>
      </c>
      <c r="C53" s="36"/>
      <c r="D53" s="36"/>
      <c r="E53" s="36"/>
      <c r="F53" s="48"/>
    </row>
    <row r="54" spans="1:6" ht="12.75" customHeight="1">
      <c r="A54" s="56" t="s">
        <v>25</v>
      </c>
      <c r="B54" s="35">
        <f>SUM(C54:F54)</f>
        <v>0</v>
      </c>
      <c r="C54" s="245"/>
      <c r="D54" s="21"/>
      <c r="E54" s="36"/>
      <c r="F54" s="48"/>
    </row>
    <row r="55" spans="1:6" ht="12.75" customHeight="1">
      <c r="A55" s="56" t="s">
        <v>26</v>
      </c>
      <c r="B55" s="35">
        <f>SUM(C55:F55)</f>
        <v>0</v>
      </c>
      <c r="C55" s="245"/>
      <c r="D55" s="21"/>
      <c r="E55" s="36"/>
      <c r="F55" s="48"/>
    </row>
    <row r="56" spans="1:6" ht="12.75" customHeight="1">
      <c r="A56" s="55" t="s">
        <v>0</v>
      </c>
      <c r="B56" s="37">
        <f aca="true" t="shared" si="3" ref="B56:B64">SUM(C56:F56)</f>
        <v>0</v>
      </c>
      <c r="C56" s="246"/>
      <c r="D56" s="26"/>
      <c r="E56" s="26"/>
      <c r="F56" s="27"/>
    </row>
    <row r="57" spans="1:6" ht="12.75" customHeight="1">
      <c r="A57" s="55" t="s">
        <v>12</v>
      </c>
      <c r="B57" s="37">
        <f t="shared" si="3"/>
        <v>2.425036</v>
      </c>
      <c r="C57" s="246">
        <f>C58</f>
        <v>2.425036</v>
      </c>
      <c r="D57" s="26">
        <f>D58</f>
        <v>0</v>
      </c>
      <c r="E57" s="39">
        <f>E58</f>
        <v>0</v>
      </c>
      <c r="F57" s="49">
        <f>F58</f>
        <v>0</v>
      </c>
    </row>
    <row r="58" spans="1:6" ht="12.75" customHeight="1">
      <c r="A58" s="56" t="s">
        <v>13</v>
      </c>
      <c r="B58" s="35">
        <f t="shared" si="3"/>
        <v>2.425036</v>
      </c>
      <c r="C58" s="245">
        <v>2.425036</v>
      </c>
      <c r="D58" s="28"/>
      <c r="E58" s="40"/>
      <c r="F58" s="47"/>
    </row>
    <row r="59" spans="1:6" ht="12.75" customHeight="1" thickBot="1">
      <c r="A59" s="73" t="s">
        <v>14</v>
      </c>
      <c r="B59" s="41">
        <f t="shared" si="3"/>
        <v>5.416</v>
      </c>
      <c r="C59" s="42">
        <v>5.416</v>
      </c>
      <c r="D59" s="43"/>
      <c r="E59" s="43"/>
      <c r="F59" s="50"/>
    </row>
    <row r="60" spans="1:6" ht="12.75" customHeight="1" thickBot="1">
      <c r="A60" s="72" t="s">
        <v>27</v>
      </c>
      <c r="B60" s="44">
        <f t="shared" si="3"/>
        <v>12.675606</v>
      </c>
      <c r="C60" s="45">
        <f>C61+C69+C70</f>
        <v>6.052432</v>
      </c>
      <c r="D60" s="45">
        <f>D61+D69+D70</f>
        <v>0.148195</v>
      </c>
      <c r="E60" s="45">
        <f>E61+E69+E70</f>
        <v>3.130991</v>
      </c>
      <c r="F60" s="46">
        <f>F61+F69+F70</f>
        <v>3.343988000000001</v>
      </c>
    </row>
    <row r="61" spans="1:6" ht="12.75" customHeight="1">
      <c r="A61" s="78" t="s">
        <v>10</v>
      </c>
      <c r="B61" s="17">
        <f t="shared" si="3"/>
        <v>2.6548450000000003</v>
      </c>
      <c r="C61" s="18">
        <f>C62+C63+C64+C65+C66+C67+C68</f>
        <v>0</v>
      </c>
      <c r="D61" s="18">
        <f>D62+D63+D64+D65+D66+D67+D68</f>
        <v>0</v>
      </c>
      <c r="E61" s="18">
        <f>E62+E63+E64+E65+E66+E67+E68</f>
        <v>0.145158</v>
      </c>
      <c r="F61" s="19">
        <f>F62+F63+F64+F65+F66+F67+F68</f>
        <v>2.5096870000000004</v>
      </c>
    </row>
    <row r="62" spans="1:6" ht="12.75" customHeight="1">
      <c r="A62" s="79" t="s">
        <v>4</v>
      </c>
      <c r="B62" s="35">
        <f t="shared" si="3"/>
        <v>2.478236</v>
      </c>
      <c r="C62" s="36"/>
      <c r="D62" s="36"/>
      <c r="E62" s="36">
        <v>0.13697</v>
      </c>
      <c r="F62" s="48">
        <v>2.341266</v>
      </c>
    </row>
    <row r="63" spans="1:6" ht="12.75" customHeight="1">
      <c r="A63" s="79" t="s">
        <v>17</v>
      </c>
      <c r="B63" s="35">
        <f t="shared" si="3"/>
        <v>0.10998</v>
      </c>
      <c r="C63" s="36"/>
      <c r="D63" s="40"/>
      <c r="E63" s="40"/>
      <c r="F63" s="47">
        <v>0.10998</v>
      </c>
    </row>
    <row r="64" spans="1:6" ht="12.75" customHeight="1">
      <c r="A64" s="79" t="s">
        <v>5</v>
      </c>
      <c r="B64" s="35">
        <f t="shared" si="3"/>
        <v>0.066629</v>
      </c>
      <c r="C64" s="36"/>
      <c r="D64" s="40"/>
      <c r="E64" s="40">
        <v>0.008188</v>
      </c>
      <c r="F64" s="47">
        <v>0.058441</v>
      </c>
    </row>
    <row r="65" spans="1:6" ht="12.75" customHeight="1">
      <c r="A65" s="79" t="s">
        <v>23</v>
      </c>
      <c r="B65" s="35">
        <f>SUM(C65:F65)</f>
        <v>0</v>
      </c>
      <c r="C65" s="36"/>
      <c r="D65" s="36"/>
      <c r="E65" s="36"/>
      <c r="F65" s="48"/>
    </row>
    <row r="66" spans="1:6" ht="12.75" customHeight="1">
      <c r="A66" s="79" t="s">
        <v>24</v>
      </c>
      <c r="B66" s="35">
        <f>SUM(C66:F66)</f>
        <v>0</v>
      </c>
      <c r="C66" s="36"/>
      <c r="D66" s="36"/>
      <c r="E66" s="36"/>
      <c r="F66" s="48"/>
    </row>
    <row r="67" spans="1:6" ht="12.75" customHeight="1">
      <c r="A67" s="79" t="s">
        <v>25</v>
      </c>
      <c r="B67" s="35">
        <f>SUM(C67:F67)</f>
        <v>0</v>
      </c>
      <c r="C67" s="36"/>
      <c r="D67" s="36"/>
      <c r="E67" s="36"/>
      <c r="F67" s="48"/>
    </row>
    <row r="68" spans="1:6" ht="12.75" customHeight="1">
      <c r="A68" s="79" t="s">
        <v>26</v>
      </c>
      <c r="B68" s="35">
        <f>SUM(C68:F68)</f>
        <v>0</v>
      </c>
      <c r="C68" s="36"/>
      <c r="D68" s="36"/>
      <c r="E68" s="36"/>
      <c r="F68" s="48"/>
    </row>
    <row r="69" spans="1:6" ht="12.75" customHeight="1">
      <c r="A69" s="78" t="s">
        <v>0</v>
      </c>
      <c r="B69" s="37">
        <f>SUM(C69:F69)</f>
        <v>5.383172</v>
      </c>
      <c r="C69" s="38">
        <v>2.68444</v>
      </c>
      <c r="D69" s="39">
        <v>0.148195</v>
      </c>
      <c r="E69" s="26">
        <v>1.753527</v>
      </c>
      <c r="F69" s="27">
        <v>0.79701</v>
      </c>
    </row>
    <row r="70" spans="1:6" ht="12.75" customHeight="1">
      <c r="A70" s="78" t="s">
        <v>34</v>
      </c>
      <c r="B70" s="37">
        <f>SUM(C70:F70)</f>
        <v>4.637589</v>
      </c>
      <c r="C70" s="38">
        <f>C71</f>
        <v>3.367992</v>
      </c>
      <c r="D70" s="39">
        <f>D71</f>
        <v>0</v>
      </c>
      <c r="E70" s="39">
        <f>E71</f>
        <v>1.232306</v>
      </c>
      <c r="F70" s="49">
        <f>F71</f>
        <v>0.037291</v>
      </c>
    </row>
    <row r="71" spans="1:6" ht="12.75" customHeight="1">
      <c r="A71" s="79" t="s">
        <v>13</v>
      </c>
      <c r="B71" s="35">
        <f>SUM(C71:F71)</f>
        <v>4.637589</v>
      </c>
      <c r="C71" s="38">
        <v>3.367992</v>
      </c>
      <c r="D71" s="39"/>
      <c r="E71" s="26">
        <v>1.232306</v>
      </c>
      <c r="F71" s="27">
        <v>0.037291</v>
      </c>
    </row>
    <row r="72" spans="1:6" ht="12.75" customHeight="1" thickBot="1">
      <c r="A72" s="80" t="s">
        <v>14</v>
      </c>
      <c r="B72" s="41">
        <f>SUM(C72:F72)</f>
        <v>7.509</v>
      </c>
      <c r="C72" s="42">
        <v>4.429</v>
      </c>
      <c r="D72" s="43"/>
      <c r="E72" s="43">
        <v>3.018</v>
      </c>
      <c r="F72" s="50">
        <v>0.062</v>
      </c>
    </row>
    <row r="73" spans="1:6" ht="12.75" customHeight="1" thickBot="1">
      <c r="A73" s="72" t="s">
        <v>33</v>
      </c>
      <c r="B73" s="44">
        <f>SUM(C73:F73)</f>
        <v>0</v>
      </c>
      <c r="C73" s="45">
        <f>C74+C82+C83</f>
        <v>0</v>
      </c>
      <c r="D73" s="45">
        <f>D74+D82+D83</f>
        <v>0</v>
      </c>
      <c r="E73" s="45">
        <f>E74+E82+E83</f>
        <v>0</v>
      </c>
      <c r="F73" s="46">
        <f>F74+F82+F83</f>
        <v>0</v>
      </c>
    </row>
    <row r="74" spans="1:6" ht="12.75" customHeight="1">
      <c r="A74" s="78" t="s">
        <v>10</v>
      </c>
      <c r="B74" s="17">
        <f aca="true" t="shared" si="4" ref="B74:B85">SUM(C74:F74)</f>
        <v>0</v>
      </c>
      <c r="C74" s="18">
        <f>C75+C76+C77+C78+C79+C80+C81</f>
        <v>0</v>
      </c>
      <c r="D74" s="18">
        <f>D75+D76+D77+D78+D79+D80+D81</f>
        <v>0</v>
      </c>
      <c r="E74" s="18">
        <f>E75+E76+E77+E78+E79+E80+E81</f>
        <v>0</v>
      </c>
      <c r="F74" s="19">
        <f>F75+F76+F77+F78+F79+F80+F81</f>
        <v>0</v>
      </c>
    </row>
    <row r="75" spans="1:6" ht="12.75" customHeight="1">
      <c r="A75" s="79" t="s">
        <v>4</v>
      </c>
      <c r="B75" s="35">
        <f t="shared" si="4"/>
        <v>0</v>
      </c>
      <c r="C75" s="36"/>
      <c r="D75" s="40"/>
      <c r="E75" s="40"/>
      <c r="F75" s="47"/>
    </row>
    <row r="76" spans="1:6" ht="12.75" customHeight="1">
      <c r="A76" s="79" t="s">
        <v>17</v>
      </c>
      <c r="B76" s="35">
        <f t="shared" si="4"/>
        <v>0</v>
      </c>
      <c r="C76" s="36"/>
      <c r="D76" s="40"/>
      <c r="E76" s="40"/>
      <c r="F76" s="47"/>
    </row>
    <row r="77" spans="1:6" ht="12.75" customHeight="1">
      <c r="A77" s="79" t="s">
        <v>5</v>
      </c>
      <c r="B77" s="35">
        <f t="shared" si="4"/>
        <v>0</v>
      </c>
      <c r="C77" s="36"/>
      <c r="D77" s="40"/>
      <c r="E77" s="40"/>
      <c r="F77" s="47"/>
    </row>
    <row r="78" spans="1:6" ht="12.75" customHeight="1">
      <c r="A78" s="79" t="s">
        <v>23</v>
      </c>
      <c r="B78" s="35">
        <f t="shared" si="4"/>
        <v>0</v>
      </c>
      <c r="C78" s="36"/>
      <c r="D78" s="36"/>
      <c r="E78" s="36"/>
      <c r="F78" s="48"/>
    </row>
    <row r="79" spans="1:6" ht="12.75" customHeight="1">
      <c r="A79" s="79" t="s">
        <v>24</v>
      </c>
      <c r="B79" s="35">
        <f t="shared" si="4"/>
        <v>0</v>
      </c>
      <c r="C79" s="36"/>
      <c r="D79" s="36"/>
      <c r="E79" s="36"/>
      <c r="F79" s="48"/>
    </row>
    <row r="80" spans="1:6" ht="12.75" customHeight="1">
      <c r="A80" s="79" t="s">
        <v>25</v>
      </c>
      <c r="B80" s="35">
        <f t="shared" si="4"/>
        <v>0</v>
      </c>
      <c r="C80" s="36"/>
      <c r="D80" s="36"/>
      <c r="E80" s="36"/>
      <c r="F80" s="48"/>
    </row>
    <row r="81" spans="1:6" ht="12.75" customHeight="1">
      <c r="A81" s="79" t="s">
        <v>26</v>
      </c>
      <c r="B81" s="35">
        <f t="shared" si="4"/>
        <v>0</v>
      </c>
      <c r="C81" s="36"/>
      <c r="D81" s="36"/>
      <c r="E81" s="36"/>
      <c r="F81" s="48"/>
    </row>
    <row r="82" spans="1:6" ht="12.75" customHeight="1">
      <c r="A82" s="78" t="s">
        <v>0</v>
      </c>
      <c r="B82" s="37">
        <f t="shared" si="4"/>
        <v>0</v>
      </c>
      <c r="C82" s="38"/>
      <c r="D82" s="39"/>
      <c r="E82" s="26"/>
      <c r="F82" s="27"/>
    </row>
    <row r="83" spans="1:6" ht="12.75" customHeight="1">
      <c r="A83" s="78" t="s">
        <v>12</v>
      </c>
      <c r="B83" s="37">
        <f t="shared" si="4"/>
        <v>0</v>
      </c>
      <c r="C83" s="38">
        <f>C84</f>
        <v>0</v>
      </c>
      <c r="D83" s="39">
        <f>D84</f>
        <v>0</v>
      </c>
      <c r="E83" s="39">
        <f>E84</f>
        <v>0</v>
      </c>
      <c r="F83" s="49">
        <f>F84</f>
        <v>0</v>
      </c>
    </row>
    <row r="84" spans="1:6" ht="12.75" customHeight="1">
      <c r="A84" s="79" t="s">
        <v>13</v>
      </c>
      <c r="B84" s="35">
        <f t="shared" si="4"/>
        <v>0</v>
      </c>
      <c r="C84" s="36"/>
      <c r="D84" s="40"/>
      <c r="E84" s="40"/>
      <c r="F84" s="47"/>
    </row>
    <row r="85" spans="1:6" ht="12.75" customHeight="1" thickBot="1">
      <c r="A85" s="80" t="s">
        <v>14</v>
      </c>
      <c r="B85" s="41">
        <f t="shared" si="4"/>
        <v>0</v>
      </c>
      <c r="C85" s="42"/>
      <c r="D85" s="43"/>
      <c r="E85" s="43"/>
      <c r="F85" s="50"/>
    </row>
    <row r="86" spans="1:6" ht="12.75" customHeight="1" thickBot="1">
      <c r="A86" s="72" t="s">
        <v>35</v>
      </c>
      <c r="B86" s="44">
        <f>SUM(C86:F86)</f>
        <v>2.8404359999999995</v>
      </c>
      <c r="C86" s="45">
        <f>C87+C95+C96</f>
        <v>2.8153889999999997</v>
      </c>
      <c r="D86" s="45">
        <f>D87+D95+D96</f>
        <v>0</v>
      </c>
      <c r="E86" s="45">
        <f>E87+E95+E96</f>
        <v>0</v>
      </c>
      <c r="F86" s="46">
        <f>F87+F95+F96</f>
        <v>0.025047</v>
      </c>
    </row>
    <row r="87" spans="1:6" ht="12.75" customHeight="1">
      <c r="A87" s="78" t="s">
        <v>10</v>
      </c>
      <c r="B87" s="17">
        <f aca="true" t="shared" si="5" ref="B87:B142">SUM(C87:F87)</f>
        <v>0</v>
      </c>
      <c r="C87" s="18">
        <f>C88+C89+C90+C91+C92+C93+C94</f>
        <v>0</v>
      </c>
      <c r="D87" s="18">
        <f>D88+D89+D90+D91+D92+D93+D94</f>
        <v>0</v>
      </c>
      <c r="E87" s="18">
        <f>E88+E89+E90+E91+E92+E93+E94</f>
        <v>0</v>
      </c>
      <c r="F87" s="19">
        <f>F88+F89+F90+F91+F92+F93+F94</f>
        <v>0</v>
      </c>
    </row>
    <row r="88" spans="1:6" ht="12.75" customHeight="1">
      <c r="A88" s="79" t="s">
        <v>4</v>
      </c>
      <c r="B88" s="35">
        <f t="shared" si="5"/>
        <v>0</v>
      </c>
      <c r="C88" s="36"/>
      <c r="D88" s="40"/>
      <c r="E88" s="40"/>
      <c r="F88" s="47"/>
    </row>
    <row r="89" spans="1:6" ht="12.75" customHeight="1">
      <c r="A89" s="79" t="s">
        <v>17</v>
      </c>
      <c r="B89" s="35">
        <f t="shared" si="5"/>
        <v>0</v>
      </c>
      <c r="C89" s="36"/>
      <c r="D89" s="40"/>
      <c r="E89" s="40"/>
      <c r="F89" s="47"/>
    </row>
    <row r="90" spans="1:6" ht="12.75" customHeight="1">
      <c r="A90" s="79" t="s">
        <v>5</v>
      </c>
      <c r="B90" s="35">
        <f t="shared" si="5"/>
        <v>0</v>
      </c>
      <c r="C90" s="36"/>
      <c r="D90" s="40"/>
      <c r="E90" s="40"/>
      <c r="F90" s="47"/>
    </row>
    <row r="91" spans="1:6" ht="12.75" customHeight="1">
      <c r="A91" s="79" t="s">
        <v>23</v>
      </c>
      <c r="B91" s="35">
        <f t="shared" si="5"/>
        <v>0</v>
      </c>
      <c r="C91" s="36"/>
      <c r="D91" s="36"/>
      <c r="E91" s="36"/>
      <c r="F91" s="48"/>
    </row>
    <row r="92" spans="1:6" ht="12.75" customHeight="1">
      <c r="A92" s="79" t="s">
        <v>24</v>
      </c>
      <c r="B92" s="35">
        <f t="shared" si="5"/>
        <v>0</v>
      </c>
      <c r="C92" s="36"/>
      <c r="D92" s="36"/>
      <c r="E92" s="36"/>
      <c r="F92" s="48"/>
    </row>
    <row r="93" spans="1:6" ht="12.75" customHeight="1">
      <c r="A93" s="79" t="s">
        <v>25</v>
      </c>
      <c r="B93" s="35">
        <f t="shared" si="5"/>
        <v>0</v>
      </c>
      <c r="C93" s="36"/>
      <c r="D93" s="36"/>
      <c r="E93" s="36"/>
      <c r="F93" s="48"/>
    </row>
    <row r="94" spans="1:6" ht="12.75">
      <c r="A94" s="79" t="s">
        <v>26</v>
      </c>
      <c r="B94" s="35">
        <f t="shared" si="5"/>
        <v>0</v>
      </c>
      <c r="C94" s="36"/>
      <c r="D94" s="36"/>
      <c r="E94" s="36"/>
      <c r="F94" s="48"/>
    </row>
    <row r="95" spans="1:6" ht="13.5">
      <c r="A95" s="78" t="s">
        <v>0</v>
      </c>
      <c r="B95" s="37">
        <f t="shared" si="5"/>
        <v>1.100984</v>
      </c>
      <c r="C95" s="38">
        <v>1.075937</v>
      </c>
      <c r="D95" s="39"/>
      <c r="E95" s="26"/>
      <c r="F95" s="27">
        <v>0.025047</v>
      </c>
    </row>
    <row r="96" spans="1:6" ht="13.5">
      <c r="A96" s="78" t="s">
        <v>12</v>
      </c>
      <c r="B96" s="37">
        <f t="shared" si="5"/>
        <v>1.739452</v>
      </c>
      <c r="C96" s="38">
        <f>C97</f>
        <v>1.739452</v>
      </c>
      <c r="D96" s="39">
        <f>D97</f>
        <v>0</v>
      </c>
      <c r="E96" s="39">
        <f>E97</f>
        <v>0</v>
      </c>
      <c r="F96" s="49">
        <f>F97</f>
        <v>0</v>
      </c>
    </row>
    <row r="97" spans="1:6" ht="12.75">
      <c r="A97" s="79" t="s">
        <v>13</v>
      </c>
      <c r="B97" s="35">
        <f t="shared" si="5"/>
        <v>1.739452</v>
      </c>
      <c r="C97" s="36">
        <v>1.739452</v>
      </c>
      <c r="D97" s="40"/>
      <c r="E97" s="40"/>
      <c r="F97" s="47"/>
    </row>
    <row r="98" spans="1:6" ht="13.5" thickBot="1">
      <c r="A98" s="80" t="s">
        <v>14</v>
      </c>
      <c r="B98" s="41">
        <f t="shared" si="5"/>
        <v>1.06</v>
      </c>
      <c r="C98" s="42">
        <v>1.06</v>
      </c>
      <c r="D98" s="43"/>
      <c r="E98" s="43"/>
      <c r="F98" s="50"/>
    </row>
    <row r="99" spans="1:6" ht="13.5" thickBot="1">
      <c r="A99" s="72" t="s">
        <v>18</v>
      </c>
      <c r="B99" s="44">
        <f t="shared" si="5"/>
        <v>4.96676</v>
      </c>
      <c r="C99" s="45">
        <f>C100+C108+C109</f>
        <v>0.490419</v>
      </c>
      <c r="D99" s="45">
        <f>D100+D108+D109</f>
        <v>0</v>
      </c>
      <c r="E99" s="45">
        <f>E100+E108+E109</f>
        <v>1.757673</v>
      </c>
      <c r="F99" s="46">
        <f>F100+F108+F109</f>
        <v>2.7186679999999996</v>
      </c>
    </row>
    <row r="100" spans="1:6" ht="13.5">
      <c r="A100" s="78" t="s">
        <v>10</v>
      </c>
      <c r="B100" s="17">
        <f t="shared" si="5"/>
        <v>2.046623</v>
      </c>
      <c r="C100" s="18">
        <f>C101+C102+C103+C104+C105+C106+C107</f>
        <v>0.051776</v>
      </c>
      <c r="D100" s="18">
        <f>D101+D102+D103+D104+D105+D106+D107</f>
        <v>0</v>
      </c>
      <c r="E100" s="18">
        <f>E101+E102+E103+E104+E105+E106+E107</f>
        <v>0.136356</v>
      </c>
      <c r="F100" s="19">
        <f>F101+F102+F103+F104+F105+F106+F107</f>
        <v>1.858491</v>
      </c>
    </row>
    <row r="101" spans="1:6" ht="12.75">
      <c r="A101" s="79" t="s">
        <v>4</v>
      </c>
      <c r="B101" s="35">
        <f t="shared" si="5"/>
        <v>1.345089</v>
      </c>
      <c r="C101" s="36"/>
      <c r="D101" s="40"/>
      <c r="E101" s="40">
        <v>0.018608</v>
      </c>
      <c r="F101" s="47">
        <v>1.326481</v>
      </c>
    </row>
    <row r="102" spans="1:6" ht="12.75">
      <c r="A102" s="79" t="s">
        <v>17</v>
      </c>
      <c r="B102" s="35">
        <f t="shared" si="5"/>
        <v>0</v>
      </c>
      <c r="C102" s="36"/>
      <c r="D102" s="40"/>
      <c r="E102" s="40"/>
      <c r="F102" s="47"/>
    </row>
    <row r="103" spans="1:6" ht="12.75">
      <c r="A103" s="79" t="s">
        <v>5</v>
      </c>
      <c r="B103" s="35">
        <f t="shared" si="5"/>
        <v>0.529003</v>
      </c>
      <c r="C103" s="36"/>
      <c r="D103" s="40"/>
      <c r="E103" s="40">
        <v>0.005412</v>
      </c>
      <c r="F103" s="47">
        <v>0.523591</v>
      </c>
    </row>
    <row r="104" spans="1:6" ht="12.75">
      <c r="A104" s="79" t="s">
        <v>23</v>
      </c>
      <c r="B104" s="35">
        <f t="shared" si="5"/>
        <v>0</v>
      </c>
      <c r="C104" s="36"/>
      <c r="D104" s="36"/>
      <c r="E104" s="36"/>
      <c r="F104" s="48"/>
    </row>
    <row r="105" spans="1:6" ht="12.75">
      <c r="A105" s="79" t="s">
        <v>24</v>
      </c>
      <c r="B105" s="35">
        <f t="shared" si="5"/>
        <v>0.008419</v>
      </c>
      <c r="C105" s="36"/>
      <c r="D105" s="36"/>
      <c r="E105" s="36"/>
      <c r="F105" s="48">
        <v>0.008419</v>
      </c>
    </row>
    <row r="106" spans="1:6" ht="12.75">
      <c r="A106" s="79" t="s">
        <v>25</v>
      </c>
      <c r="B106" s="35">
        <f t="shared" si="5"/>
        <v>0.164112</v>
      </c>
      <c r="C106" s="36">
        <v>0.051776</v>
      </c>
      <c r="D106" s="36"/>
      <c r="E106" s="36">
        <v>0.112336</v>
      </c>
      <c r="F106" s="48"/>
    </row>
    <row r="107" spans="1:6" ht="12.75">
      <c r="A107" s="79" t="s">
        <v>26</v>
      </c>
      <c r="B107" s="35">
        <f t="shared" si="5"/>
        <v>0</v>
      </c>
      <c r="C107" s="36"/>
      <c r="D107" s="36"/>
      <c r="E107" s="36"/>
      <c r="F107" s="48"/>
    </row>
    <row r="108" spans="1:6" ht="13.5">
      <c r="A108" s="78" t="s">
        <v>0</v>
      </c>
      <c r="B108" s="37">
        <f t="shared" si="5"/>
        <v>2.741869</v>
      </c>
      <c r="C108" s="38">
        <v>0.438643</v>
      </c>
      <c r="D108" s="39"/>
      <c r="E108" s="26">
        <v>1.522164</v>
      </c>
      <c r="F108" s="27">
        <v>0.781062</v>
      </c>
    </row>
    <row r="109" spans="1:6" ht="13.5">
      <c r="A109" s="78" t="s">
        <v>12</v>
      </c>
      <c r="B109" s="37">
        <f t="shared" si="5"/>
        <v>0.178268</v>
      </c>
      <c r="C109" s="38">
        <f>C110</f>
        <v>0</v>
      </c>
      <c r="D109" s="39">
        <f>D110</f>
        <v>0</v>
      </c>
      <c r="E109" s="39">
        <f>E110</f>
        <v>0.099153</v>
      </c>
      <c r="F109" s="49">
        <f>F110</f>
        <v>0.079115</v>
      </c>
    </row>
    <row r="110" spans="1:6" ht="12.75">
      <c r="A110" s="79" t="s">
        <v>13</v>
      </c>
      <c r="B110" s="35">
        <f t="shared" si="5"/>
        <v>0.178268</v>
      </c>
      <c r="C110" s="36"/>
      <c r="D110" s="40"/>
      <c r="E110" s="40">
        <v>0.099153</v>
      </c>
      <c r="F110" s="47">
        <v>0.079115</v>
      </c>
    </row>
    <row r="111" spans="1:6" ht="13.5" thickBot="1">
      <c r="A111" s="80" t="s">
        <v>14</v>
      </c>
      <c r="B111" s="41">
        <f t="shared" si="5"/>
        <v>0.315</v>
      </c>
      <c r="C111" s="42"/>
      <c r="D111" s="43"/>
      <c r="E111" s="247">
        <v>0.18</v>
      </c>
      <c r="F111" s="50">
        <v>0.135</v>
      </c>
    </row>
    <row r="112" spans="1:6" ht="13.5" thickBot="1">
      <c r="A112" s="72" t="s">
        <v>28</v>
      </c>
      <c r="B112" s="44">
        <f t="shared" si="5"/>
        <v>2.258407</v>
      </c>
      <c r="C112" s="45">
        <f>C113+C121+C122</f>
        <v>1.129709</v>
      </c>
      <c r="D112" s="45">
        <f>D113+D121+D122</f>
        <v>0</v>
      </c>
      <c r="E112" s="45">
        <f>E113+E121+E122</f>
        <v>0.588427</v>
      </c>
      <c r="F112" s="46">
        <f>F113+F121+F122</f>
        <v>0.540271</v>
      </c>
    </row>
    <row r="113" spans="1:6" ht="13.5">
      <c r="A113" s="78" t="s">
        <v>10</v>
      </c>
      <c r="B113" s="17">
        <f t="shared" si="5"/>
        <v>0.50634</v>
      </c>
      <c r="C113" s="18">
        <f>C114+C115+C116+C117+C118+C119+C120</f>
        <v>0.000556</v>
      </c>
      <c r="D113" s="18">
        <f>D114+D115+D116+D117+D118+D119+D120</f>
        <v>0</v>
      </c>
      <c r="E113" s="18">
        <f>E114+E115+E116+E117+E118+E119+E120</f>
        <v>0</v>
      </c>
      <c r="F113" s="19">
        <f>F114+F115+F116+F117+F118+F119+F120</f>
        <v>0.505784</v>
      </c>
    </row>
    <row r="114" spans="1:6" ht="12.75">
      <c r="A114" s="79" t="s">
        <v>4</v>
      </c>
      <c r="B114" s="35">
        <f t="shared" si="5"/>
        <v>0.492968</v>
      </c>
      <c r="C114" s="36"/>
      <c r="D114" s="40"/>
      <c r="E114" s="40"/>
      <c r="F114" s="47">
        <v>0.492968</v>
      </c>
    </row>
    <row r="115" spans="1:6" ht="12.75">
      <c r="A115" s="79" t="s">
        <v>17</v>
      </c>
      <c r="B115" s="35">
        <f t="shared" si="5"/>
        <v>0.012816</v>
      </c>
      <c r="C115" s="36"/>
      <c r="D115" s="40"/>
      <c r="E115" s="40"/>
      <c r="F115" s="47">
        <v>0.012816</v>
      </c>
    </row>
    <row r="116" spans="1:6" ht="12.75">
      <c r="A116" s="79" t="s">
        <v>5</v>
      </c>
      <c r="B116" s="35">
        <f t="shared" si="5"/>
        <v>0</v>
      </c>
      <c r="C116" s="36"/>
      <c r="D116" s="40"/>
      <c r="E116" s="40"/>
      <c r="F116" s="47"/>
    </row>
    <row r="117" spans="1:6" ht="12.75">
      <c r="A117" s="79" t="s">
        <v>23</v>
      </c>
      <c r="B117" s="35">
        <f t="shared" si="5"/>
        <v>0</v>
      </c>
      <c r="C117" s="36"/>
      <c r="D117" s="36"/>
      <c r="E117" s="36"/>
      <c r="F117" s="48"/>
    </row>
    <row r="118" spans="1:6" ht="12.75">
      <c r="A118" s="79" t="s">
        <v>24</v>
      </c>
      <c r="B118" s="35">
        <f t="shared" si="5"/>
        <v>0</v>
      </c>
      <c r="C118" s="36"/>
      <c r="D118" s="36"/>
      <c r="E118" s="36"/>
      <c r="F118" s="48"/>
    </row>
    <row r="119" spans="1:6" ht="12.75">
      <c r="A119" s="79" t="s">
        <v>25</v>
      </c>
      <c r="B119" s="35">
        <f t="shared" si="5"/>
        <v>0</v>
      </c>
      <c r="C119" s="36"/>
      <c r="D119" s="36"/>
      <c r="E119" s="36"/>
      <c r="F119" s="48"/>
    </row>
    <row r="120" spans="1:6" ht="12.75">
      <c r="A120" s="79" t="s">
        <v>26</v>
      </c>
      <c r="B120" s="35">
        <f t="shared" si="5"/>
        <v>0.000556</v>
      </c>
      <c r="C120" s="36">
        <v>0.000556</v>
      </c>
      <c r="D120" s="36"/>
      <c r="E120" s="36"/>
      <c r="F120" s="48"/>
    </row>
    <row r="121" spans="1:6" ht="13.5">
      <c r="A121" s="78" t="s">
        <v>0</v>
      </c>
      <c r="B121" s="37">
        <f t="shared" si="5"/>
        <v>1.7262650000000002</v>
      </c>
      <c r="C121" s="38">
        <v>1.129153</v>
      </c>
      <c r="D121" s="39"/>
      <c r="E121" s="26">
        <v>0.569045</v>
      </c>
      <c r="F121" s="27">
        <v>0.028067</v>
      </c>
    </row>
    <row r="122" spans="1:6" ht="13.5">
      <c r="A122" s="78" t="s">
        <v>12</v>
      </c>
      <c r="B122" s="37">
        <f t="shared" si="5"/>
        <v>0.025802</v>
      </c>
      <c r="C122" s="38"/>
      <c r="D122" s="39">
        <f>D123</f>
        <v>0</v>
      </c>
      <c r="E122" s="39">
        <f>E123</f>
        <v>0.019382</v>
      </c>
      <c r="F122" s="49">
        <f>F123</f>
        <v>0.00642</v>
      </c>
    </row>
    <row r="123" spans="1:6" ht="12.75">
      <c r="A123" s="79" t="s">
        <v>13</v>
      </c>
      <c r="B123" s="35">
        <f t="shared" si="5"/>
        <v>0.025802</v>
      </c>
      <c r="C123" s="36"/>
      <c r="D123" s="40"/>
      <c r="E123" s="40">
        <v>0.019382</v>
      </c>
      <c r="F123" s="47">
        <v>0.00642</v>
      </c>
    </row>
    <row r="124" spans="1:6" ht="13.5" thickBot="1">
      <c r="A124" s="80" t="s">
        <v>14</v>
      </c>
      <c r="B124" s="41">
        <f t="shared" si="5"/>
        <v>0.048</v>
      </c>
      <c r="C124" s="42"/>
      <c r="D124" s="43"/>
      <c r="E124" s="43">
        <v>0.037</v>
      </c>
      <c r="F124" s="50">
        <v>0.011</v>
      </c>
    </row>
    <row r="125" spans="1:6" ht="13.5" thickBot="1">
      <c r="A125" s="72" t="s">
        <v>19</v>
      </c>
      <c r="B125" s="44">
        <f t="shared" si="5"/>
        <v>3.9516459999999993</v>
      </c>
      <c r="C125" s="45">
        <f>C126+C134+C135</f>
        <v>2.3458539999999997</v>
      </c>
      <c r="D125" s="45">
        <f>D126+D134+D135</f>
        <v>0</v>
      </c>
      <c r="E125" s="45">
        <f>E126+E134+E135</f>
        <v>0.9533619999999999</v>
      </c>
      <c r="F125" s="46">
        <f>F126+F134+F135</f>
        <v>0.65243</v>
      </c>
    </row>
    <row r="126" spans="1:6" ht="13.5">
      <c r="A126" s="78" t="s">
        <v>10</v>
      </c>
      <c r="B126" s="17">
        <f t="shared" si="5"/>
        <v>0.502836</v>
      </c>
      <c r="C126" s="18">
        <f>C127+C128+C129+C130+C131+C132+C133</f>
        <v>0</v>
      </c>
      <c r="D126" s="18">
        <f>D127+D128+D129+D130+D131+D132+D133</f>
        <v>0</v>
      </c>
      <c r="E126" s="18">
        <f>E127+E128+E129+E130+E131+E132+E133</f>
        <v>0.08943699999999999</v>
      </c>
      <c r="F126" s="19">
        <f>F127+F128+F129+F130+F131+F132+F133</f>
        <v>0.41339899999999996</v>
      </c>
    </row>
    <row r="127" spans="1:6" ht="12.75">
      <c r="A127" s="79" t="s">
        <v>4</v>
      </c>
      <c r="B127" s="35">
        <f t="shared" si="5"/>
        <v>0.16997</v>
      </c>
      <c r="C127" s="36"/>
      <c r="D127" s="40"/>
      <c r="E127" s="40">
        <v>0.048266</v>
      </c>
      <c r="F127" s="47">
        <v>0.121704</v>
      </c>
    </row>
    <row r="128" spans="1:6" ht="12.75">
      <c r="A128" s="79" t="s">
        <v>17</v>
      </c>
      <c r="B128" s="35">
        <f t="shared" si="5"/>
        <v>0.049596</v>
      </c>
      <c r="C128" s="36"/>
      <c r="D128" s="40"/>
      <c r="E128" s="40">
        <v>0.036546</v>
      </c>
      <c r="F128" s="47">
        <v>0.01305</v>
      </c>
    </row>
    <row r="129" spans="1:6" ht="12.75">
      <c r="A129" s="79" t="s">
        <v>5</v>
      </c>
      <c r="B129" s="35">
        <f t="shared" si="5"/>
        <v>0.282794</v>
      </c>
      <c r="C129" s="36"/>
      <c r="D129" s="40"/>
      <c r="E129" s="40">
        <v>0.004149</v>
      </c>
      <c r="F129" s="47">
        <v>0.278645</v>
      </c>
    </row>
    <row r="130" spans="1:6" ht="12.75">
      <c r="A130" s="79" t="s">
        <v>23</v>
      </c>
      <c r="B130" s="35">
        <f t="shared" si="5"/>
        <v>0</v>
      </c>
      <c r="C130" s="36"/>
      <c r="D130" s="36"/>
      <c r="E130" s="36"/>
      <c r="F130" s="48"/>
    </row>
    <row r="131" spans="1:6" ht="12.75">
      <c r="A131" s="79" t="s">
        <v>24</v>
      </c>
      <c r="B131" s="35">
        <f t="shared" si="5"/>
        <v>2.4E-05</v>
      </c>
      <c r="C131" s="36"/>
      <c r="D131" s="36"/>
      <c r="E131" s="36">
        <v>2.4E-05</v>
      </c>
      <c r="F131" s="48"/>
    </row>
    <row r="132" spans="1:6" ht="12.75">
      <c r="A132" s="79" t="s">
        <v>25</v>
      </c>
      <c r="B132" s="35">
        <f t="shared" si="5"/>
        <v>0</v>
      </c>
      <c r="C132" s="36"/>
      <c r="D132" s="36"/>
      <c r="E132" s="36"/>
      <c r="F132" s="48"/>
    </row>
    <row r="133" spans="1:6" ht="12.75">
      <c r="A133" s="79" t="s">
        <v>26</v>
      </c>
      <c r="B133" s="35">
        <f t="shared" si="5"/>
        <v>0.000452</v>
      </c>
      <c r="C133" s="36"/>
      <c r="D133" s="36"/>
      <c r="E133" s="36">
        <v>0.000452</v>
      </c>
      <c r="F133" s="48"/>
    </row>
    <row r="134" spans="1:6" ht="13.5">
      <c r="A134" s="78" t="s">
        <v>0</v>
      </c>
      <c r="B134" s="37">
        <f t="shared" si="5"/>
        <v>2.9969029999999997</v>
      </c>
      <c r="C134" s="38">
        <v>2.196099</v>
      </c>
      <c r="D134" s="39"/>
      <c r="E134" s="26">
        <v>0.627636</v>
      </c>
      <c r="F134" s="27">
        <v>0.173168</v>
      </c>
    </row>
    <row r="135" spans="1:6" ht="13.5">
      <c r="A135" s="78" t="s">
        <v>12</v>
      </c>
      <c r="B135" s="37">
        <f t="shared" si="5"/>
        <v>0.451907</v>
      </c>
      <c r="C135" s="38">
        <f>C136</f>
        <v>0.149755</v>
      </c>
      <c r="D135" s="39">
        <f>D136</f>
        <v>0</v>
      </c>
      <c r="E135" s="39">
        <f>E136</f>
        <v>0.236289</v>
      </c>
      <c r="F135" s="49">
        <f>F136</f>
        <v>0.065863</v>
      </c>
    </row>
    <row r="136" spans="1:6" ht="12.75">
      <c r="A136" s="79" t="s">
        <v>13</v>
      </c>
      <c r="B136" s="35">
        <f t="shared" si="5"/>
        <v>0.451907</v>
      </c>
      <c r="C136" s="36">
        <v>0.149755</v>
      </c>
      <c r="D136" s="40"/>
      <c r="E136" s="36">
        <v>0.236289</v>
      </c>
      <c r="F136" s="47">
        <v>0.065863</v>
      </c>
    </row>
    <row r="137" spans="1:6" ht="13.5" thickBot="1">
      <c r="A137" s="80" t="s">
        <v>14</v>
      </c>
      <c r="B137" s="41">
        <f t="shared" si="5"/>
        <v>0.714</v>
      </c>
      <c r="C137" s="42">
        <v>0.242</v>
      </c>
      <c r="D137" s="43"/>
      <c r="E137" s="42">
        <v>0.374</v>
      </c>
      <c r="F137" s="50">
        <v>0.098</v>
      </c>
    </row>
    <row r="138" spans="1:6" ht="13.5" thickBot="1">
      <c r="A138" s="72" t="s">
        <v>20</v>
      </c>
      <c r="B138" s="44">
        <f t="shared" si="5"/>
        <v>0.6839230000000001</v>
      </c>
      <c r="C138" s="45">
        <f>C139+C147+C148</f>
        <v>0.016464</v>
      </c>
      <c r="D138" s="45">
        <f>D139+D147+D148</f>
        <v>0</v>
      </c>
      <c r="E138" s="45">
        <f>E139+E147+E148</f>
        <v>0.256216</v>
      </c>
      <c r="F138" s="46">
        <f>F139+F147</f>
        <v>0.411243</v>
      </c>
    </row>
    <row r="139" spans="1:6" ht="13.5">
      <c r="A139" s="78" t="s">
        <v>10</v>
      </c>
      <c r="B139" s="17">
        <f t="shared" si="5"/>
        <v>0.28126300000000004</v>
      </c>
      <c r="C139" s="18">
        <f>C140+C141+C142+C143+C144+C145+C146</f>
        <v>0</v>
      </c>
      <c r="D139" s="18">
        <f>D140+D141+D142+D143+D144+D145+D146</f>
        <v>0</v>
      </c>
      <c r="E139" s="18">
        <f>E140+E141+E142+E143+E144+E145+E146</f>
        <v>0</v>
      </c>
      <c r="F139" s="19">
        <f>F140+F141+F142+F143+F144+F145+F146</f>
        <v>0.28126300000000004</v>
      </c>
    </row>
    <row r="140" spans="1:6" ht="12.75">
      <c r="A140" s="79" t="s">
        <v>4</v>
      </c>
      <c r="B140" s="35">
        <f t="shared" si="5"/>
        <v>0.219705</v>
      </c>
      <c r="C140" s="36"/>
      <c r="D140" s="36"/>
      <c r="E140" s="36"/>
      <c r="F140" s="48">
        <v>0.219705</v>
      </c>
    </row>
    <row r="141" spans="1:6" ht="12.75">
      <c r="A141" s="79" t="s">
        <v>17</v>
      </c>
      <c r="B141" s="35">
        <f t="shared" si="5"/>
        <v>0</v>
      </c>
      <c r="C141" s="36"/>
      <c r="D141" s="36"/>
      <c r="E141" s="36"/>
      <c r="F141" s="48"/>
    </row>
    <row r="142" spans="1:6" ht="12.75">
      <c r="A142" s="79" t="s">
        <v>5</v>
      </c>
      <c r="B142" s="35">
        <f t="shared" si="5"/>
        <v>0.061558</v>
      </c>
      <c r="C142" s="36"/>
      <c r="D142" s="36"/>
      <c r="E142" s="36"/>
      <c r="F142" s="48">
        <v>0.061558</v>
      </c>
    </row>
    <row r="143" spans="1:6" ht="12.75">
      <c r="A143" s="79" t="s">
        <v>23</v>
      </c>
      <c r="B143" s="35">
        <f>SUM(C143:F143)</f>
        <v>0</v>
      </c>
      <c r="C143" s="36"/>
      <c r="D143" s="36"/>
      <c r="E143" s="36"/>
      <c r="F143" s="48"/>
    </row>
    <row r="144" spans="1:6" ht="12.75">
      <c r="A144" s="79" t="s">
        <v>24</v>
      </c>
      <c r="B144" s="35">
        <f>SUM(C144:F144)</f>
        <v>0</v>
      </c>
      <c r="C144" s="36"/>
      <c r="D144" s="36"/>
      <c r="E144" s="36"/>
      <c r="F144" s="48"/>
    </row>
    <row r="145" spans="1:6" ht="12.75">
      <c r="A145" s="79" t="s">
        <v>25</v>
      </c>
      <c r="B145" s="35">
        <f>SUM(C145:F145)</f>
        <v>0</v>
      </c>
      <c r="C145" s="36"/>
      <c r="D145" s="36"/>
      <c r="E145" s="36"/>
      <c r="F145" s="48"/>
    </row>
    <row r="146" spans="1:6" ht="12.75">
      <c r="A146" s="79" t="s">
        <v>26</v>
      </c>
      <c r="B146" s="35">
        <f>SUM(C146:F146)</f>
        <v>0</v>
      </c>
      <c r="C146" s="36"/>
      <c r="D146" s="36"/>
      <c r="E146" s="36"/>
      <c r="F146" s="48"/>
    </row>
    <row r="147" spans="1:6" ht="13.5">
      <c r="A147" s="78" t="s">
        <v>0</v>
      </c>
      <c r="B147" s="23">
        <f>SUM(C147:F147)</f>
        <v>0.33870100000000003</v>
      </c>
      <c r="C147" s="36">
        <v>0.016464</v>
      </c>
      <c r="D147" s="24"/>
      <c r="E147" s="24">
        <v>0.192257</v>
      </c>
      <c r="F147" s="25">
        <v>0.12998</v>
      </c>
    </row>
    <row r="148" spans="1:6" ht="13.5">
      <c r="A148" s="78" t="s">
        <v>12</v>
      </c>
      <c r="B148" s="37">
        <f>SUM(C148:F148)</f>
        <v>0.063959</v>
      </c>
      <c r="C148" s="38">
        <f>C149</f>
        <v>0</v>
      </c>
      <c r="D148" s="39">
        <f>D149</f>
        <v>0</v>
      </c>
      <c r="E148" s="39">
        <f>E149</f>
        <v>0.063959</v>
      </c>
      <c r="F148" s="49">
        <f>F149</f>
        <v>0</v>
      </c>
    </row>
    <row r="149" spans="1:6" ht="12.75">
      <c r="A149" s="79" t="s">
        <v>13</v>
      </c>
      <c r="B149" s="35">
        <f>SUM(C149:F149)</f>
        <v>0.063959</v>
      </c>
      <c r="C149" s="36"/>
      <c r="D149" s="40"/>
      <c r="E149" s="40">
        <v>0.063959</v>
      </c>
      <c r="F149" s="47"/>
    </row>
    <row r="150" spans="1:6" ht="13.5" thickBot="1">
      <c r="A150" s="80" t="s">
        <v>14</v>
      </c>
      <c r="B150" s="41">
        <f>SUM(C150:F150)</f>
        <v>0.102</v>
      </c>
      <c r="C150" s="42"/>
      <c r="D150" s="43"/>
      <c r="E150" s="43">
        <v>0.102</v>
      </c>
      <c r="F150" s="50"/>
    </row>
    <row r="151" spans="1:6" ht="13.5" thickBot="1">
      <c r="A151" s="72" t="s">
        <v>21</v>
      </c>
      <c r="B151" s="141">
        <f>SUM(C151:F151)</f>
        <v>2.023087</v>
      </c>
      <c r="C151" s="142">
        <f>C152+C160+C161</f>
        <v>0</v>
      </c>
      <c r="D151" s="142">
        <f>D152+D160+D161</f>
        <v>0</v>
      </c>
      <c r="E151" s="142">
        <f>E152+E160+E161</f>
        <v>1.184239</v>
      </c>
      <c r="F151" s="143">
        <f>F152+F160+F161</f>
        <v>0.8388479999999999</v>
      </c>
    </row>
    <row r="152" spans="1:6" ht="13.5">
      <c r="A152" s="78" t="s">
        <v>10</v>
      </c>
      <c r="B152" s="159">
        <f>SUM(C152:F152)</f>
        <v>1.005277</v>
      </c>
      <c r="C152" s="160">
        <f>C153+C154+C155+C156+C157+C158+C159</f>
        <v>0</v>
      </c>
      <c r="D152" s="160">
        <f>D153+D154+D155+D156+D157+D158+D159</f>
        <v>0</v>
      </c>
      <c r="E152" s="160">
        <f>E153+E154+E155+E156+E157+E158+E159</f>
        <v>0.379312</v>
      </c>
      <c r="F152" s="166">
        <f>F153+F154+F155+F156+F157+F158+F159</f>
        <v>0.6259649999999999</v>
      </c>
    </row>
    <row r="153" spans="1:6" ht="12.75">
      <c r="A153" s="79" t="s">
        <v>4</v>
      </c>
      <c r="B153" s="148">
        <f>SUM(C153:F153)</f>
        <v>0.593864</v>
      </c>
      <c r="C153" s="149"/>
      <c r="D153" s="150"/>
      <c r="E153" s="150">
        <v>0.210529</v>
      </c>
      <c r="F153" s="151">
        <v>0.383335</v>
      </c>
    </row>
    <row r="154" spans="1:6" ht="12.75">
      <c r="A154" s="79" t="s">
        <v>17</v>
      </c>
      <c r="B154" s="148">
        <f>SUM(C154:F154)</f>
        <v>0.246023</v>
      </c>
      <c r="C154" s="149"/>
      <c r="D154" s="150"/>
      <c r="E154" s="150">
        <v>0.168165</v>
      </c>
      <c r="F154" s="151">
        <v>0.077858</v>
      </c>
    </row>
    <row r="155" spans="1:6" ht="12.75">
      <c r="A155" s="79" t="s">
        <v>5</v>
      </c>
      <c r="B155" s="148">
        <f>SUM(C155:F155)</f>
        <v>0.162731</v>
      </c>
      <c r="C155" s="149"/>
      <c r="D155" s="150"/>
      <c r="E155" s="150"/>
      <c r="F155" s="151">
        <v>0.162731</v>
      </c>
    </row>
    <row r="156" spans="1:6" ht="12.75">
      <c r="A156" s="79" t="s">
        <v>23</v>
      </c>
      <c r="B156" s="148">
        <f>SUM(C156:F156)</f>
        <v>0</v>
      </c>
      <c r="C156" s="149"/>
      <c r="D156" s="149"/>
      <c r="E156" s="149"/>
      <c r="F156" s="152"/>
    </row>
    <row r="157" spans="1:6" ht="12.75">
      <c r="A157" s="79" t="s">
        <v>24</v>
      </c>
      <c r="B157" s="148">
        <f>SUM(C157:F157)</f>
        <v>0.00167</v>
      </c>
      <c r="C157" s="149"/>
      <c r="D157" s="149"/>
      <c r="E157" s="149"/>
      <c r="F157" s="152">
        <v>0.00167</v>
      </c>
    </row>
    <row r="158" spans="1:6" ht="12.75">
      <c r="A158" s="79" t="s">
        <v>25</v>
      </c>
      <c r="B158" s="148">
        <f>SUM(C158:F158)</f>
        <v>0</v>
      </c>
      <c r="C158" s="149"/>
      <c r="D158" s="149"/>
      <c r="E158" s="149"/>
      <c r="F158" s="152"/>
    </row>
    <row r="159" spans="1:6" ht="12.75">
      <c r="A159" s="79" t="s">
        <v>26</v>
      </c>
      <c r="B159" s="148">
        <f>SUM(C159:F159)</f>
        <v>0.0009889999999999999</v>
      </c>
      <c r="C159" s="149"/>
      <c r="D159" s="149"/>
      <c r="E159" s="149">
        <v>0.000618</v>
      </c>
      <c r="F159" s="152">
        <v>0.000371</v>
      </c>
    </row>
    <row r="160" spans="1:6" ht="13.5">
      <c r="A160" s="78" t="s">
        <v>0</v>
      </c>
      <c r="B160" s="144">
        <f>SUM(C160:F160)</f>
        <v>0.7463690000000001</v>
      </c>
      <c r="C160" s="145"/>
      <c r="D160" s="146"/>
      <c r="E160" s="153">
        <v>0.563828</v>
      </c>
      <c r="F160" s="154">
        <v>0.182541</v>
      </c>
    </row>
    <row r="161" spans="1:6" ht="13.5">
      <c r="A161" s="78" t="s">
        <v>12</v>
      </c>
      <c r="B161" s="144">
        <f>SUM(C161:F161)</f>
        <v>0.271441</v>
      </c>
      <c r="C161" s="145">
        <f>C162</f>
        <v>0</v>
      </c>
      <c r="D161" s="146">
        <f>D162</f>
        <v>0</v>
      </c>
      <c r="E161" s="146">
        <f>E162</f>
        <v>0.241099</v>
      </c>
      <c r="F161" s="147">
        <f>F162</f>
        <v>0.030342</v>
      </c>
    </row>
    <row r="162" spans="1:6" ht="12.75">
      <c r="A162" s="79" t="s">
        <v>13</v>
      </c>
      <c r="B162" s="148">
        <f>SUM(C162:F162)</f>
        <v>0.271441</v>
      </c>
      <c r="C162" s="149"/>
      <c r="D162" s="150"/>
      <c r="E162" s="150">
        <v>0.241099</v>
      </c>
      <c r="F162" s="151">
        <v>0.030342</v>
      </c>
    </row>
    <row r="163" spans="1:6" ht="13.5" thickBot="1">
      <c r="A163" s="80" t="s">
        <v>14</v>
      </c>
      <c r="B163" s="155">
        <f>SUM(C163:F163)</f>
        <v>0.41000000000000003</v>
      </c>
      <c r="C163" s="156"/>
      <c r="D163" s="157"/>
      <c r="E163" s="157">
        <v>0.343</v>
      </c>
      <c r="F163" s="158">
        <v>0.067</v>
      </c>
    </row>
    <row r="164" spans="1:6" ht="13.5" thickBot="1">
      <c r="A164" s="72" t="s">
        <v>22</v>
      </c>
      <c r="B164" s="44">
        <f>SUM(C164:F164)</f>
        <v>2.586881</v>
      </c>
      <c r="C164" s="45">
        <f>C165+C173+C174</f>
        <v>0</v>
      </c>
      <c r="D164" s="45">
        <f>D165+D173+D174</f>
        <v>0</v>
      </c>
      <c r="E164" s="45">
        <f>E165+E173+E174</f>
        <v>1.50005</v>
      </c>
      <c r="F164" s="46">
        <f>F165+F173+F174</f>
        <v>1.086831</v>
      </c>
    </row>
    <row r="165" spans="1:6" ht="13.5">
      <c r="A165" s="78" t="s">
        <v>10</v>
      </c>
      <c r="B165" s="17">
        <f>SUM(C165:F165)</f>
        <v>1.5826760000000002</v>
      </c>
      <c r="C165" s="18">
        <f>C166+C167+C168+C169+C170+C171+C172</f>
        <v>0</v>
      </c>
      <c r="D165" s="18">
        <f>D166+D167+D168+D169+D170+D171+D172</f>
        <v>0</v>
      </c>
      <c r="E165" s="18">
        <f>E166+E167+E168+E169+E170+E171+E172</f>
        <v>0.7158610000000001</v>
      </c>
      <c r="F165" s="19">
        <f>F166+F167+F168+F169+F170+F171+F172</f>
        <v>0.866815</v>
      </c>
    </row>
    <row r="166" spans="1:6" ht="13.5">
      <c r="A166" s="78" t="s">
        <v>4</v>
      </c>
      <c r="B166" s="35">
        <f>SUM(C166:F166)</f>
        <v>1.110762</v>
      </c>
      <c r="C166" s="36"/>
      <c r="D166" s="40"/>
      <c r="E166" s="40">
        <v>0.452144</v>
      </c>
      <c r="F166" s="47">
        <v>0.658618</v>
      </c>
    </row>
    <row r="167" spans="1:6" ht="13.5">
      <c r="A167" s="78" t="s">
        <v>17</v>
      </c>
      <c r="B167" s="35">
        <f>SUM(C167:F167)</f>
        <v>0.42066800000000004</v>
      </c>
      <c r="C167" s="36"/>
      <c r="D167" s="40"/>
      <c r="E167" s="40">
        <v>0.252435</v>
      </c>
      <c r="F167" s="47">
        <v>0.168233</v>
      </c>
    </row>
    <row r="168" spans="1:6" ht="13.5">
      <c r="A168" s="78" t="s">
        <v>5</v>
      </c>
      <c r="B168" s="35">
        <f>SUM(C168:F168)</f>
        <v>0.045844</v>
      </c>
      <c r="C168" s="36"/>
      <c r="D168" s="40"/>
      <c r="E168" s="40">
        <v>0.005982</v>
      </c>
      <c r="F168" s="47">
        <v>0.039862</v>
      </c>
    </row>
    <row r="169" spans="1:6" ht="12.75">
      <c r="A169" s="79" t="s">
        <v>23</v>
      </c>
      <c r="B169" s="35">
        <f>SUM(C169:F169)</f>
        <v>0</v>
      </c>
      <c r="C169" s="36"/>
      <c r="D169" s="36"/>
      <c r="E169" s="36"/>
      <c r="F169" s="48"/>
    </row>
    <row r="170" spans="1:6" ht="12.75">
      <c r="A170" s="79" t="s">
        <v>24</v>
      </c>
      <c r="B170" s="35">
        <f>SUM(C170:F170)</f>
        <v>0.004995</v>
      </c>
      <c r="C170" s="36"/>
      <c r="D170" s="36"/>
      <c r="E170" s="36">
        <v>0.004995</v>
      </c>
      <c r="F170" s="48"/>
    </row>
    <row r="171" spans="1:6" ht="12.75">
      <c r="A171" s="79" t="s">
        <v>25</v>
      </c>
      <c r="B171" s="35">
        <f>SUM(C171:F171)</f>
        <v>0</v>
      </c>
      <c r="C171" s="36"/>
      <c r="D171" s="36"/>
      <c r="E171" s="36"/>
      <c r="F171" s="48"/>
    </row>
    <row r="172" spans="1:6" ht="12.75">
      <c r="A172" s="79" t="s">
        <v>26</v>
      </c>
      <c r="B172" s="35">
        <f>SUM(C172:F172)</f>
        <v>0.00040699999999999997</v>
      </c>
      <c r="C172" s="36"/>
      <c r="D172" s="36"/>
      <c r="E172" s="36">
        <v>0.000305</v>
      </c>
      <c r="F172" s="48">
        <v>0.000102</v>
      </c>
    </row>
    <row r="173" spans="1:6" ht="13.5">
      <c r="A173" s="78" t="s">
        <v>0</v>
      </c>
      <c r="B173" s="37">
        <f>SUM(C173:F173)</f>
        <v>0.895396</v>
      </c>
      <c r="C173" s="38"/>
      <c r="D173" s="39"/>
      <c r="E173" s="26">
        <v>0.748184</v>
      </c>
      <c r="F173" s="27">
        <v>0.147212</v>
      </c>
    </row>
    <row r="174" spans="1:6" ht="13.5">
      <c r="A174" s="78" t="s">
        <v>12</v>
      </c>
      <c r="B174" s="37">
        <f>SUM(C174:F174)</f>
        <v>0.10880899999999999</v>
      </c>
      <c r="C174" s="38">
        <f>C175</f>
        <v>0</v>
      </c>
      <c r="D174" s="39">
        <f>D175</f>
        <v>0</v>
      </c>
      <c r="E174" s="39">
        <f>E175</f>
        <v>0.036005</v>
      </c>
      <c r="F174" s="49">
        <f>F175</f>
        <v>0.072804</v>
      </c>
    </row>
    <row r="175" spans="1:6" ht="12.75">
      <c r="A175" s="79" t="s">
        <v>13</v>
      </c>
      <c r="B175" s="35">
        <f>SUM(C175:F175)</f>
        <v>0.10880899999999999</v>
      </c>
      <c r="C175" s="36"/>
      <c r="D175" s="40"/>
      <c r="E175" s="40">
        <v>0.036005</v>
      </c>
      <c r="F175" s="47">
        <v>0.072804</v>
      </c>
    </row>
    <row r="176" spans="1:6" ht="13.5" thickBot="1">
      <c r="A176" s="80" t="s">
        <v>14</v>
      </c>
      <c r="B176" s="41">
        <f>SUM(C176:F176)</f>
        <v>0.199</v>
      </c>
      <c r="C176" s="42"/>
      <c r="D176" s="43"/>
      <c r="E176" s="43">
        <v>0.13</v>
      </c>
      <c r="F176" s="50">
        <v>0.069</v>
      </c>
    </row>
    <row r="177" spans="1:6" ht="13.5" thickBot="1">
      <c r="A177" s="72" t="s">
        <v>36</v>
      </c>
      <c r="B177" s="44">
        <f>SUM(C177:F177)</f>
        <v>5.46223</v>
      </c>
      <c r="C177" s="45">
        <f>C178+C186+C187</f>
        <v>0</v>
      </c>
      <c r="D177" s="45">
        <f>D178+D186+D187</f>
        <v>0</v>
      </c>
      <c r="E177" s="45">
        <f>E178+E186+E187</f>
        <v>0.9208230000000001</v>
      </c>
      <c r="F177" s="46">
        <f>F178+F186+F187</f>
        <v>4.5414069999999995</v>
      </c>
    </row>
    <row r="178" spans="1:6" ht="13.5">
      <c r="A178" s="78" t="s">
        <v>10</v>
      </c>
      <c r="B178" s="17">
        <f>SUM(C178:F178)</f>
        <v>3.527103</v>
      </c>
      <c r="C178" s="18">
        <f>C179+C180+C181+C182+C183+C184+C185</f>
        <v>0</v>
      </c>
      <c r="D178" s="18">
        <f>D179+D180+D181+D182+D183+D184+D185</f>
        <v>0</v>
      </c>
      <c r="E178" s="18">
        <f>E179+E180+E181+E182+E183+E184+E185</f>
        <v>0.028949000000000003</v>
      </c>
      <c r="F178" s="19">
        <f>F179+F180+F181+F182+F183+F184+F185</f>
        <v>3.498154</v>
      </c>
    </row>
    <row r="179" spans="1:6" ht="12.75">
      <c r="A179" s="79" t="s">
        <v>4</v>
      </c>
      <c r="B179" s="35">
        <f>SUM(C179:F179)</f>
        <v>0.340842</v>
      </c>
      <c r="C179" s="36"/>
      <c r="D179" s="40"/>
      <c r="E179" s="40">
        <v>0.00416</v>
      </c>
      <c r="F179" s="47">
        <v>0.336682</v>
      </c>
    </row>
    <row r="180" spans="1:6" ht="12.75">
      <c r="A180" s="79" t="s">
        <v>17</v>
      </c>
      <c r="B180" s="35">
        <f>SUM(C180:F180)</f>
        <v>0</v>
      </c>
      <c r="C180" s="36"/>
      <c r="D180" s="40"/>
      <c r="E180" s="40"/>
      <c r="F180" s="47"/>
    </row>
    <row r="181" spans="1:6" ht="12.75">
      <c r="A181" s="79" t="s">
        <v>5</v>
      </c>
      <c r="B181" s="35">
        <f>SUM(C181:F181)</f>
        <v>3.179127</v>
      </c>
      <c r="C181" s="36"/>
      <c r="D181" s="40"/>
      <c r="E181" s="40">
        <v>0.019501</v>
      </c>
      <c r="F181" s="47">
        <v>3.159626</v>
      </c>
    </row>
    <row r="182" spans="1:6" ht="12.75">
      <c r="A182" s="79" t="s">
        <v>23</v>
      </c>
      <c r="B182" s="35">
        <f>SUM(C182:F182)</f>
        <v>0</v>
      </c>
      <c r="C182" s="36"/>
      <c r="D182" s="36"/>
      <c r="E182" s="36"/>
      <c r="F182" s="48"/>
    </row>
    <row r="183" spans="1:6" ht="12.75">
      <c r="A183" s="79" t="s">
        <v>24</v>
      </c>
      <c r="B183" s="35">
        <f>SUM(C183:F183)</f>
        <v>0.007134</v>
      </c>
      <c r="C183" s="36"/>
      <c r="D183" s="36"/>
      <c r="E183" s="36">
        <v>0.005288</v>
      </c>
      <c r="F183" s="48">
        <v>0.001846</v>
      </c>
    </row>
    <row r="184" spans="1:6" ht="12.75">
      <c r="A184" s="79" t="s">
        <v>25</v>
      </c>
      <c r="B184" s="35">
        <f>SUM(C184:F184)</f>
        <v>0</v>
      </c>
      <c r="C184" s="36"/>
      <c r="D184" s="36"/>
      <c r="E184" s="36"/>
      <c r="F184" s="48"/>
    </row>
    <row r="185" spans="1:6" ht="12.75">
      <c r="A185" s="79" t="s">
        <v>26</v>
      </c>
      <c r="B185" s="35">
        <f>SUM(C185:F185)</f>
        <v>0</v>
      </c>
      <c r="C185" s="36"/>
      <c r="D185" s="36"/>
      <c r="E185" s="36"/>
      <c r="F185" s="48"/>
    </row>
    <row r="186" spans="1:6" ht="13.5">
      <c r="A186" s="78" t="s">
        <v>0</v>
      </c>
      <c r="B186" s="37">
        <f>SUM(C186:F186)</f>
        <v>1.745185</v>
      </c>
      <c r="C186" s="38"/>
      <c r="D186" s="39"/>
      <c r="E186" s="26">
        <v>0.806223</v>
      </c>
      <c r="F186" s="27">
        <v>0.938962</v>
      </c>
    </row>
    <row r="187" spans="1:6" ht="13.5">
      <c r="A187" s="82" t="s">
        <v>12</v>
      </c>
      <c r="B187" s="23">
        <f>SUM(C187:F187)</f>
        <v>0.189942</v>
      </c>
      <c r="C187" s="24">
        <f>C188</f>
        <v>0</v>
      </c>
      <c r="D187" s="26">
        <f>D188</f>
        <v>0</v>
      </c>
      <c r="E187" s="26">
        <f>E188</f>
        <v>0.085651</v>
      </c>
      <c r="F187" s="27">
        <f>F188</f>
        <v>0.104291</v>
      </c>
    </row>
    <row r="188" spans="1:6" ht="12.75">
      <c r="A188" s="79" t="s">
        <v>13</v>
      </c>
      <c r="B188" s="35">
        <f>SUM(C188:F188)</f>
        <v>0.189942</v>
      </c>
      <c r="C188" s="36"/>
      <c r="D188" s="40"/>
      <c r="E188" s="40">
        <v>0.085651</v>
      </c>
      <c r="F188" s="47">
        <v>0.104291</v>
      </c>
    </row>
    <row r="189" spans="1:6" ht="13.5" thickBot="1">
      <c r="A189" s="80" t="s">
        <v>14</v>
      </c>
      <c r="B189" s="41">
        <f>SUM(C189:F189)</f>
        <v>0.32499999999999996</v>
      </c>
      <c r="C189" s="42"/>
      <c r="D189" s="43"/>
      <c r="E189" s="43">
        <v>0.147</v>
      </c>
      <c r="F189" s="50">
        <v>0.178</v>
      </c>
    </row>
    <row r="190" spans="1:6" ht="13.5" thickBot="1">
      <c r="A190" s="72" t="s">
        <v>30</v>
      </c>
      <c r="B190" s="44">
        <f aca="true" t="shared" si="6" ref="B190:B199">SUM(C190:F190)</f>
        <v>0.33902299999999996</v>
      </c>
      <c r="C190" s="45">
        <f>C191+C199+C200</f>
        <v>0</v>
      </c>
      <c r="D190" s="45">
        <f>D191+D199+D200</f>
        <v>0</v>
      </c>
      <c r="E190" s="45">
        <f>E191+E199+E200</f>
        <v>0.314638</v>
      </c>
      <c r="F190" s="46">
        <f>F191+F199+F200</f>
        <v>0.024385</v>
      </c>
    </row>
    <row r="191" spans="1:6" ht="13.5">
      <c r="A191" s="78" t="s">
        <v>10</v>
      </c>
      <c r="B191" s="17">
        <f t="shared" si="6"/>
        <v>0.024897</v>
      </c>
      <c r="C191" s="18">
        <f>C192+C193+C194+C195+C196+C197+C198</f>
        <v>0</v>
      </c>
      <c r="D191" s="18">
        <f>D192+D193+D194+D195+D196+D197+D198</f>
        <v>0</v>
      </c>
      <c r="E191" s="18">
        <f>E192+E193+E194+E195+E196+E197+E198</f>
        <v>0.000537</v>
      </c>
      <c r="F191" s="19">
        <f>F192+F193+F194+F195+F196+F197+F198</f>
        <v>0.02436</v>
      </c>
    </row>
    <row r="192" spans="1:6" ht="12.75">
      <c r="A192" s="79" t="s">
        <v>4</v>
      </c>
      <c r="B192" s="35">
        <f t="shared" si="6"/>
        <v>0.02164</v>
      </c>
      <c r="C192" s="36"/>
      <c r="D192" s="40"/>
      <c r="E192" s="40"/>
      <c r="F192" s="47">
        <v>0.02164</v>
      </c>
    </row>
    <row r="193" spans="1:6" ht="12.75">
      <c r="A193" s="79" t="s">
        <v>17</v>
      </c>
      <c r="B193" s="35">
        <f t="shared" si="6"/>
        <v>0</v>
      </c>
      <c r="C193" s="36"/>
      <c r="D193" s="40"/>
      <c r="E193" s="40"/>
      <c r="F193" s="47"/>
    </row>
    <row r="194" spans="1:6" ht="12.75">
      <c r="A194" s="79" t="s">
        <v>5</v>
      </c>
      <c r="B194" s="35">
        <f t="shared" si="6"/>
        <v>0.000537</v>
      </c>
      <c r="C194" s="36"/>
      <c r="D194" s="40"/>
      <c r="E194" s="40">
        <v>0.000537</v>
      </c>
      <c r="F194" s="47"/>
    </row>
    <row r="195" spans="1:6" ht="12.75">
      <c r="A195" s="79" t="s">
        <v>23</v>
      </c>
      <c r="B195" s="35">
        <f t="shared" si="6"/>
        <v>0</v>
      </c>
      <c r="C195" s="36"/>
      <c r="D195" s="36"/>
      <c r="E195" s="36"/>
      <c r="F195" s="48"/>
    </row>
    <row r="196" spans="1:6" ht="12.75">
      <c r="A196" s="79" t="s">
        <v>24</v>
      </c>
      <c r="B196" s="35">
        <f t="shared" si="6"/>
        <v>0</v>
      </c>
      <c r="C196" s="36"/>
      <c r="D196" s="36"/>
      <c r="E196" s="36"/>
      <c r="F196" s="48"/>
    </row>
    <row r="197" spans="1:6" ht="12.75">
      <c r="A197" s="79" t="s">
        <v>25</v>
      </c>
      <c r="B197" s="35">
        <f t="shared" si="6"/>
        <v>0</v>
      </c>
      <c r="C197" s="36"/>
      <c r="D197" s="36"/>
      <c r="E197" s="36"/>
      <c r="F197" s="48"/>
    </row>
    <row r="198" spans="1:6" ht="12.75">
      <c r="A198" s="79" t="s">
        <v>26</v>
      </c>
      <c r="B198" s="35">
        <f t="shared" si="6"/>
        <v>0.00272</v>
      </c>
      <c r="C198" s="36"/>
      <c r="D198" s="36"/>
      <c r="E198" s="36"/>
      <c r="F198" s="48">
        <v>0.00272</v>
      </c>
    </row>
    <row r="199" spans="1:6" ht="13.5">
      <c r="A199" s="83" t="s">
        <v>0</v>
      </c>
      <c r="B199" s="51">
        <f t="shared" si="6"/>
        <v>0.138728</v>
      </c>
      <c r="C199" s="24"/>
      <c r="D199" s="26"/>
      <c r="E199" s="26">
        <v>0.138703</v>
      </c>
      <c r="F199" s="27">
        <v>2.5E-05</v>
      </c>
    </row>
    <row r="200" spans="1:6" ht="13.5">
      <c r="A200" s="82" t="s">
        <v>12</v>
      </c>
      <c r="B200" s="23">
        <f>SUM(C200:F200)</f>
        <v>0.175398</v>
      </c>
      <c r="C200" s="24">
        <f>C201</f>
        <v>0</v>
      </c>
      <c r="D200" s="26">
        <f>D201</f>
        <v>0</v>
      </c>
      <c r="E200" s="26">
        <f>E201</f>
        <v>0.175398</v>
      </c>
      <c r="F200" s="27">
        <f>F201</f>
        <v>0</v>
      </c>
    </row>
    <row r="201" spans="1:6" ht="12.75">
      <c r="A201" s="79" t="s">
        <v>13</v>
      </c>
      <c r="B201" s="35">
        <f>SUM(C201:F201)</f>
        <v>0.175398</v>
      </c>
      <c r="C201" s="36"/>
      <c r="D201" s="40"/>
      <c r="E201" s="40">
        <v>0.175398</v>
      </c>
      <c r="F201" s="47"/>
    </row>
    <row r="202" spans="1:6" ht="13.5" thickBot="1">
      <c r="A202" s="80" t="s">
        <v>14</v>
      </c>
      <c r="B202" s="41">
        <f>SUM(C202:F202)</f>
        <v>0.354</v>
      </c>
      <c r="C202" s="42"/>
      <c r="D202" s="43"/>
      <c r="E202" s="43">
        <v>0.354</v>
      </c>
      <c r="F202" s="50"/>
    </row>
  </sheetData>
  <sheetProtection/>
  <mergeCells count="3">
    <mergeCell ref="B4:F4"/>
    <mergeCell ref="A5:A6"/>
    <mergeCell ref="B5:F5"/>
  </mergeCells>
  <conditionalFormatting sqref="C134">
    <cfRule type="containsText" priority="1" dxfId="273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.7086614173228347" right="0.7086614173228347" top="1.3385826771653544" bottom="0.7480314960629921" header="0.31496062992125984" footer="0.31496062992125984"/>
  <pageSetup fitToHeight="3" fitToWidth="1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Скворцова Ю. А.</dc:creator>
  <cp:keywords/>
  <dc:description/>
  <cp:lastModifiedBy>Сенатенко Д.С.</cp:lastModifiedBy>
  <cp:lastPrinted>2021-04-09T05:26:23Z</cp:lastPrinted>
  <dcterms:created xsi:type="dcterms:W3CDTF">2014-10-21T04:36:59Z</dcterms:created>
  <dcterms:modified xsi:type="dcterms:W3CDTF">2022-04-08T13:52:29Z</dcterms:modified>
  <cp:category/>
  <cp:version/>
  <cp:contentType/>
  <cp:contentStatus/>
</cp:coreProperties>
</file>