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tabRatio="599" firstSheet="7" activeTab="15"/>
  </bookViews>
  <sheets>
    <sheet name="январь факт" sheetId="1" r:id="rId1"/>
    <sheet name="февраль факт" sheetId="2" r:id="rId2"/>
    <sheet name="март факт" sheetId="3" r:id="rId3"/>
    <sheet name="1 квартал" sheetId="4" r:id="rId4"/>
    <sheet name="апрель факт" sheetId="5" r:id="rId5"/>
    <sheet name="май факт" sheetId="6" r:id="rId6"/>
    <sheet name="июнь факт" sheetId="7" r:id="rId7"/>
    <sheet name="2 квартал" sheetId="8" r:id="rId8"/>
    <sheet name="1 полугодие" sheetId="9" r:id="rId9"/>
    <sheet name="июль факт" sheetId="10" r:id="rId10"/>
    <sheet name="август факт" sheetId="11" r:id="rId11"/>
    <sheet name="сентябрь факт" sheetId="12" r:id="rId12"/>
    <sheet name="3 квартал" sheetId="13" r:id="rId13"/>
    <sheet name="октябрь факт" sheetId="14" r:id="rId14"/>
    <sheet name="ноябрь факт" sheetId="15" r:id="rId15"/>
    <sheet name="декабрь оперативно " sheetId="16" r:id="rId16"/>
    <sheet name="4 квартал" sheetId="17" r:id="rId17"/>
    <sheet name="2 полугодие" sheetId="18" r:id="rId18"/>
    <sheet name="всего" sheetId="19" r:id="rId19"/>
  </sheets>
  <definedNames/>
  <calcPr fullCalcOnLoad="1"/>
</workbook>
</file>

<file path=xl/sharedStrings.xml><?xml version="1.0" encoding="utf-8"?>
<sst xmlns="http://schemas.openxmlformats.org/spreadsheetml/2006/main" count="2237" uniqueCount="77">
  <si>
    <t>ВН</t>
  </si>
  <si>
    <t>СН1</t>
  </si>
  <si>
    <t>СН2</t>
  </si>
  <si>
    <t>НН</t>
  </si>
  <si>
    <t>ООО "ВКМ-Сталь"</t>
  </si>
  <si>
    <t>ООО "Энерголин"</t>
  </si>
  <si>
    <t>ОАО "Биохимик"</t>
  </si>
  <si>
    <t>ОАО "Мордовская электротеплосетевая компания"</t>
  </si>
  <si>
    <t>МП г.о. Саранск "Горсвет"</t>
  </si>
  <si>
    <t>АВГУСТ</t>
  </si>
  <si>
    <t>население всего</t>
  </si>
  <si>
    <t>город</t>
  </si>
  <si>
    <t>село</t>
  </si>
  <si>
    <t xml:space="preserve">Прочие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</si>
  <si>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</si>
  <si>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</si>
  <si>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</si>
  <si>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</si>
  <si>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</si>
  <si>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</si>
  <si>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</si>
  <si>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ОАО "Ремстроймаш"</t>
  </si>
  <si>
    <t>ОАО "Саранский завод Автосамосвалов"</t>
  </si>
  <si>
    <t>ООО "Производственная фирма "Жилкоммунстрой"</t>
  </si>
  <si>
    <t>ОАО "Саранский завод "Резинотехника"</t>
  </si>
  <si>
    <t>ФКП "Саранский Механическийзавод"</t>
  </si>
  <si>
    <t xml:space="preserve">ООО "ТеплоЛюкс-М" </t>
  </si>
  <si>
    <t>1 квартал</t>
  </si>
  <si>
    <t>тыс.кВтч.</t>
  </si>
  <si>
    <t>Фактический полезный отпуск электроэнергии и мощности по тарифным группам в разрезе ТСО ( территориальных сетевых организаций ) с выделением населения</t>
  </si>
  <si>
    <t xml:space="preserve">СЕНТЯБРЬ </t>
  </si>
  <si>
    <t xml:space="preserve">ДЕКАБРЬ </t>
  </si>
  <si>
    <t>3 квартал</t>
  </si>
  <si>
    <t>4 квартал</t>
  </si>
  <si>
    <t>2012 г.</t>
  </si>
  <si>
    <t>Филиал ОАО "МРСК Волги" - "Мордовэнерго"</t>
  </si>
  <si>
    <t>ООО "Электротеплосеть" Зубово-Поляна</t>
  </si>
  <si>
    <t xml:space="preserve">ООО "Мордовская региональная теплоснабжающая компания" </t>
  </si>
  <si>
    <t>Горьковская дирекция ОАО "РЖД"</t>
  </si>
  <si>
    <t>Филиал "Приволжский" ОАО "Оборонэнерго"</t>
  </si>
  <si>
    <t xml:space="preserve">Куйбышевская дирекция по энергообеспечению - структурное подразделение Трансэнерго - филиала ОАО "РЖД"  </t>
  </si>
  <si>
    <t>Авалон-С</t>
  </si>
  <si>
    <t>МП Лямбирского района РМ "Жилищно-коммунальное хозяйство "Елховское"</t>
  </si>
  <si>
    <t xml:space="preserve">Филиал ООО "Системы жизнеобеспечения РМ" </t>
  </si>
  <si>
    <t>2 квартал</t>
  </si>
  <si>
    <t>1 полугодие</t>
  </si>
  <si>
    <t>2 полугодие</t>
  </si>
  <si>
    <t>Прочие одноставочная услуга э/энергия</t>
  </si>
  <si>
    <t>Электроэнергия прочие и бюджетные потребители ВСЕГО:</t>
  </si>
  <si>
    <t>ОАО "Висмут"</t>
  </si>
  <si>
    <t>ВСЕГО услуга</t>
  </si>
  <si>
    <t>за ЯНВАРЬ 2013 г.</t>
  </si>
  <si>
    <t>за МАРТ 2013 г.</t>
  </si>
  <si>
    <t>за АПРЕЛЬ 2013 г.</t>
  </si>
  <si>
    <t>за МАЙ 2013 г.</t>
  </si>
  <si>
    <t>за ИЮНЬ 2013 г.</t>
  </si>
  <si>
    <t>за ИЮЛЬ 2013 г.</t>
  </si>
  <si>
    <t>за АВГУСТ 2013 г.</t>
  </si>
  <si>
    <t>за СЕНТЯБРЬ 2013 г.</t>
  </si>
  <si>
    <t>за НОЯБРЬ 2013 г.</t>
  </si>
  <si>
    <t>за ДЕКАБРЬ 2013 г.</t>
  </si>
  <si>
    <t>за 3 квартал 2013 г.</t>
  </si>
  <si>
    <t>за 1 полугодие 2013 г.</t>
  </si>
  <si>
    <t>за 2 квартал 2013 г.</t>
  </si>
  <si>
    <t>за ОКТЯБРЬ 2013 г.</t>
  </si>
  <si>
    <t>за 1 квартал 2013 г.</t>
  </si>
  <si>
    <t>за 4 квартал 2013 г.</t>
  </si>
  <si>
    <t>за 2 полугодие 2013 г.</t>
  </si>
  <si>
    <t>за 2013 г.</t>
  </si>
  <si>
    <t>за ФЕВРАЛЬ 2013 г.</t>
  </si>
  <si>
    <t>ООО "ДСК-энерго"</t>
  </si>
  <si>
    <t>город с электроплитами</t>
  </si>
  <si>
    <t>УСЛУГА всего</t>
  </si>
  <si>
    <t xml:space="preserve">ООО "Мордовская сетевая компания" (пл. Центральная котельная) </t>
  </si>
  <si>
    <t>ООО "Мордовская сетевая компания" (пл. ОАО "Саранский завод "Резинотехника")</t>
  </si>
  <si>
    <t>ОКТЯБРЬ</t>
  </si>
  <si>
    <t>НОЯБРЬ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</si>
</sst>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00"/>
    <numFmt numFmtId="170" formatCode="0.000000"/>
    <numFmt numFmtId="171" formatCode="0.0%"/>
    <numFmt numFmtId="172" formatCode="0.000%"/>
    <numFmt numFmtId="173" formatCode="#,##0.0"/>
  </numFmts>
  <fonts count="46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Helv"/>
      <family val="0"/>
    </font>
    <font>
      <b/>
      <sz val="14"/>
      <name val="Arial"/>
      <family val="2"/>
    </font>
    <font>
      <b/>
      <sz val="14"/>
      <name val="Arial Cyr"/>
      <family val="0"/>
    </font>
    <font>
      <sz val="14"/>
      <name val="Arial"/>
      <family val="2"/>
    </font>
    <font>
      <sz val="14"/>
      <name val="Arial Cyr"/>
      <family val="0"/>
    </font>
    <font>
      <b/>
      <i/>
      <sz val="14"/>
      <name val="Arial Cyr"/>
      <family val="0"/>
    </font>
    <font>
      <sz val="14"/>
      <name val="Helv"/>
      <family val="0"/>
    </font>
    <font>
      <b/>
      <sz val="18"/>
      <name val="Arial Cyr"/>
      <family val="0"/>
    </font>
    <font>
      <b/>
      <sz val="12"/>
      <name val="Times New Roman"/>
      <family val="1"/>
    </font>
    <font>
      <b/>
      <sz val="10"/>
      <color indexed="10"/>
      <name val="Arial Cyr"/>
      <family val="0"/>
    </font>
    <font>
      <sz val="10"/>
      <name val="Times New Roman Cyr"/>
      <family val="1"/>
    </font>
    <font>
      <b/>
      <i/>
      <sz val="14"/>
      <name val="Arial"/>
      <family val="2"/>
    </font>
    <font>
      <sz val="10"/>
      <name val="Arial"/>
      <family val="2"/>
    </font>
    <font>
      <sz val="16"/>
      <name val="Arial Cyr"/>
      <family val="0"/>
    </font>
    <font>
      <i/>
      <sz val="14"/>
      <name val="Arial Cyr"/>
      <family val="0"/>
    </font>
    <font>
      <sz val="14"/>
      <name val="Times New Roman CYR"/>
      <family val="1"/>
    </font>
    <font>
      <b/>
      <sz val="14"/>
      <color indexed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i/>
      <sz val="14"/>
      <name val="Arial"/>
      <family val="2"/>
    </font>
    <font>
      <sz val="18"/>
      <name val="Arial Cyr"/>
      <family val="0"/>
    </font>
    <font>
      <i/>
      <sz val="12"/>
      <name val="Arial"/>
      <family val="2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4" fontId="1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6" fillId="0" borderId="0">
      <alignment/>
      <protection/>
    </xf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90">
    <xf numFmtId="0" fontId="0" fillId="0" borderId="0" xfId="0" applyNumberFormat="1" applyAlignment="1">
      <alignment/>
    </xf>
    <xf numFmtId="3" fontId="1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 vertical="center"/>
    </xf>
    <xf numFmtId="168" fontId="6" fillId="0" borderId="1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68" fontId="6" fillId="0" borderId="11" xfId="0" applyNumberFormat="1" applyFont="1" applyFill="1" applyBorder="1" applyAlignment="1">
      <alignment vertical="center"/>
    </xf>
    <xf numFmtId="168" fontId="6" fillId="0" borderId="12" xfId="0" applyNumberFormat="1" applyFont="1" applyFill="1" applyBorder="1" applyAlignment="1">
      <alignment vertical="center"/>
    </xf>
    <xf numFmtId="168" fontId="8" fillId="0" borderId="11" xfId="0" applyNumberFormat="1" applyFont="1" applyFill="1" applyBorder="1" applyAlignment="1">
      <alignment vertical="center"/>
    </xf>
    <xf numFmtId="168" fontId="7" fillId="0" borderId="11" xfId="0" applyNumberFormat="1" applyFont="1" applyFill="1" applyBorder="1" applyAlignment="1">
      <alignment vertical="center"/>
    </xf>
    <xf numFmtId="168" fontId="7" fillId="0" borderId="12" xfId="0" applyNumberFormat="1" applyFont="1" applyFill="1" applyBorder="1" applyAlignment="1">
      <alignment vertical="center"/>
    </xf>
    <xf numFmtId="168" fontId="7" fillId="0" borderId="0" xfId="0" applyNumberFormat="1" applyFont="1" applyFill="1" applyBorder="1" applyAlignment="1">
      <alignment/>
    </xf>
    <xf numFmtId="168" fontId="8" fillId="0" borderId="12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left" vertical="center" wrapText="1"/>
    </xf>
    <xf numFmtId="168" fontId="5" fillId="0" borderId="11" xfId="0" applyNumberFormat="1" applyFont="1" applyFill="1" applyBorder="1" applyAlignment="1">
      <alignment vertical="center"/>
    </xf>
    <xf numFmtId="168" fontId="5" fillId="0" borderId="12" xfId="0" applyNumberFormat="1" applyFont="1" applyFill="1" applyBorder="1" applyAlignment="1">
      <alignment vertical="center"/>
    </xf>
    <xf numFmtId="168" fontId="6" fillId="0" borderId="15" xfId="0" applyNumberFormat="1" applyFont="1" applyFill="1" applyBorder="1" applyAlignment="1">
      <alignment vertical="center"/>
    </xf>
    <xf numFmtId="0" fontId="0" fillId="0" borderId="0" xfId="0" applyNumberFormat="1" applyBorder="1" applyAlignment="1">
      <alignment/>
    </xf>
    <xf numFmtId="168" fontId="8" fillId="0" borderId="15" xfId="0" applyNumberFormat="1" applyFont="1" applyFill="1" applyBorder="1" applyAlignment="1">
      <alignment vertical="center"/>
    </xf>
    <xf numFmtId="168" fontId="8" fillId="0" borderId="16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8" fontId="8" fillId="0" borderId="0" xfId="0" applyNumberFormat="1" applyFont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168" fontId="6" fillId="0" borderId="18" xfId="0" applyNumberFormat="1" applyFont="1" applyFill="1" applyBorder="1" applyAlignment="1">
      <alignment vertical="center"/>
    </xf>
    <xf numFmtId="168" fontId="6" fillId="0" borderId="19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/>
    </xf>
    <xf numFmtId="168" fontId="7" fillId="0" borderId="0" xfId="0" applyNumberFormat="1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/>
    </xf>
    <xf numFmtId="168" fontId="8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3" fontId="6" fillId="0" borderId="20" xfId="0" applyNumberFormat="1" applyFont="1" applyFill="1" applyBorder="1" applyAlignment="1">
      <alignment vertical="center"/>
    </xf>
    <xf numFmtId="0" fontId="6" fillId="0" borderId="21" xfId="0" applyNumberFormat="1" applyFont="1" applyFill="1" applyBorder="1" applyAlignment="1">
      <alignment horizontal="left" vertical="center" wrapText="1"/>
    </xf>
    <xf numFmtId="168" fontId="6" fillId="0" borderId="22" xfId="0" applyNumberFormat="1" applyFont="1" applyFill="1" applyBorder="1" applyAlignment="1">
      <alignment vertical="center"/>
    </xf>
    <xf numFmtId="168" fontId="6" fillId="0" borderId="23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168" fontId="6" fillId="0" borderId="26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Alignment="1">
      <alignment vertical="center" wrapText="1"/>
    </xf>
    <xf numFmtId="3" fontId="6" fillId="0" borderId="27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6" fillId="0" borderId="29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/>
    </xf>
    <xf numFmtId="169" fontId="8" fillId="0" borderId="0" xfId="0" applyNumberFormat="1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68" fontId="6" fillId="24" borderId="11" xfId="0" applyNumberFormat="1" applyFont="1" applyFill="1" applyBorder="1" applyAlignment="1">
      <alignment vertical="center"/>
    </xf>
    <xf numFmtId="168" fontId="6" fillId="24" borderId="12" xfId="0" applyNumberFormat="1" applyFont="1" applyFill="1" applyBorder="1" applyAlignment="1">
      <alignment vertical="center"/>
    </xf>
    <xf numFmtId="168" fontId="7" fillId="0" borderId="11" xfId="0" applyNumberFormat="1" applyFont="1" applyFill="1" applyBorder="1" applyAlignment="1">
      <alignment vertical="center"/>
    </xf>
    <xf numFmtId="168" fontId="7" fillId="0" borderId="12" xfId="0" applyNumberFormat="1" applyFont="1" applyFill="1" applyBorder="1" applyAlignment="1">
      <alignment vertical="center"/>
    </xf>
    <xf numFmtId="168" fontId="5" fillId="0" borderId="11" xfId="0" applyNumberFormat="1" applyFont="1" applyFill="1" applyBorder="1" applyAlignment="1">
      <alignment vertical="center"/>
    </xf>
    <xf numFmtId="168" fontId="5" fillId="0" borderId="12" xfId="0" applyNumberFormat="1" applyFont="1" applyFill="1" applyBorder="1" applyAlignment="1">
      <alignment vertical="center"/>
    </xf>
    <xf numFmtId="168" fontId="5" fillId="0" borderId="18" xfId="0" applyNumberFormat="1" applyFont="1" applyFill="1" applyBorder="1" applyAlignment="1">
      <alignment vertical="center"/>
    </xf>
    <xf numFmtId="168" fontId="5" fillId="0" borderId="30" xfId="0" applyNumberFormat="1" applyFont="1" applyFill="1" applyBorder="1" applyAlignment="1">
      <alignment vertical="center"/>
    </xf>
    <xf numFmtId="168" fontId="5" fillId="24" borderId="18" xfId="0" applyNumberFormat="1" applyFont="1" applyFill="1" applyBorder="1" applyAlignment="1">
      <alignment vertical="center"/>
    </xf>
    <xf numFmtId="168" fontId="5" fillId="24" borderId="30" xfId="0" applyNumberFormat="1" applyFont="1" applyFill="1" applyBorder="1" applyAlignment="1">
      <alignment vertical="center"/>
    </xf>
    <xf numFmtId="0" fontId="6" fillId="0" borderId="26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vertical="center"/>
    </xf>
    <xf numFmtId="168" fontId="6" fillId="0" borderId="11" xfId="0" applyNumberFormat="1" applyFont="1" applyFill="1" applyBorder="1" applyAlignment="1">
      <alignment vertical="center" wrapText="1"/>
    </xf>
    <xf numFmtId="168" fontId="6" fillId="0" borderId="12" xfId="0" applyNumberFormat="1" applyFont="1" applyFill="1" applyBorder="1" applyAlignment="1">
      <alignment vertical="center" wrapText="1"/>
    </xf>
    <xf numFmtId="168" fontId="5" fillId="0" borderId="12" xfId="0" applyNumberFormat="1" applyFont="1" applyFill="1" applyBorder="1" applyAlignment="1">
      <alignment vertical="center" wrapText="1"/>
    </xf>
    <xf numFmtId="0" fontId="9" fillId="0" borderId="19" xfId="0" applyNumberFormat="1" applyFont="1" applyFill="1" applyBorder="1" applyAlignment="1">
      <alignment horizontal="left" vertical="center" wrapText="1"/>
    </xf>
    <xf numFmtId="168" fontId="7" fillId="0" borderId="15" xfId="0" applyNumberFormat="1" applyFont="1" applyFill="1" applyBorder="1" applyAlignment="1">
      <alignment vertical="center"/>
    </xf>
    <xf numFmtId="168" fontId="7" fillId="0" borderId="16" xfId="0" applyNumberFormat="1" applyFont="1" applyFill="1" applyBorder="1" applyAlignment="1">
      <alignment vertical="center"/>
    </xf>
    <xf numFmtId="168" fontId="5" fillId="0" borderId="11" xfId="0" applyNumberFormat="1" applyFont="1" applyFill="1" applyBorder="1" applyAlignment="1">
      <alignment/>
    </xf>
    <xf numFmtId="168" fontId="5" fillId="0" borderId="12" xfId="0" applyNumberFormat="1" applyFont="1" applyFill="1" applyBorder="1" applyAlignment="1">
      <alignment/>
    </xf>
    <xf numFmtId="168" fontId="5" fillId="0" borderId="11" xfId="0" applyNumberFormat="1" applyFont="1" applyFill="1" applyBorder="1" applyAlignment="1">
      <alignment vertical="center" wrapText="1"/>
    </xf>
    <xf numFmtId="168" fontId="7" fillId="0" borderId="15" xfId="0" applyNumberFormat="1" applyFont="1" applyFill="1" applyBorder="1" applyAlignment="1">
      <alignment vertical="center"/>
    </xf>
    <xf numFmtId="168" fontId="7" fillId="0" borderId="12" xfId="0" applyNumberFormat="1" applyFont="1" applyFill="1" applyBorder="1" applyAlignment="1">
      <alignment/>
    </xf>
    <xf numFmtId="168" fontId="7" fillId="0" borderId="16" xfId="0" applyNumberFormat="1" applyFont="1" applyFill="1" applyBorder="1" applyAlignment="1">
      <alignment vertical="center"/>
    </xf>
    <xf numFmtId="168" fontId="7" fillId="0" borderId="11" xfId="0" applyNumberFormat="1" applyFont="1" applyFill="1" applyBorder="1" applyAlignment="1">
      <alignment/>
    </xf>
    <xf numFmtId="168" fontId="6" fillId="0" borderId="11" xfId="0" applyNumberFormat="1" applyFont="1" applyFill="1" applyBorder="1" applyAlignment="1">
      <alignment/>
    </xf>
    <xf numFmtId="168" fontId="5" fillId="0" borderId="11" xfId="0" applyNumberFormat="1" applyFont="1" applyFill="1" applyBorder="1" applyAlignment="1">
      <alignment/>
    </xf>
    <xf numFmtId="0" fontId="15" fillId="0" borderId="13" xfId="0" applyNumberFormat="1" applyFont="1" applyFill="1" applyBorder="1" applyAlignment="1">
      <alignment vertical="center" wrapText="1"/>
    </xf>
    <xf numFmtId="4" fontId="9" fillId="0" borderId="13" xfId="0" applyFont="1" applyFill="1" applyBorder="1" applyAlignment="1">
      <alignment horizontal="left" vertical="center" wrapText="1"/>
    </xf>
    <xf numFmtId="4" fontId="9" fillId="0" borderId="14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vertical="center" wrapText="1"/>
    </xf>
    <xf numFmtId="4" fontId="9" fillId="0" borderId="10" xfId="0" applyFont="1" applyFill="1" applyBorder="1" applyAlignment="1">
      <alignment horizontal="left" vertical="center" wrapText="1"/>
    </xf>
    <xf numFmtId="4" fontId="9" fillId="0" borderId="19" xfId="0" applyFont="1" applyFill="1" applyBorder="1" applyAlignment="1">
      <alignment horizontal="left" vertical="center" wrapText="1"/>
    </xf>
    <xf numFmtId="4" fontId="6" fillId="0" borderId="26" xfId="0" applyFont="1" applyFill="1" applyBorder="1" applyAlignment="1">
      <alignment horizontal="left" vertical="center" wrapText="1"/>
    </xf>
    <xf numFmtId="4" fontId="6" fillId="0" borderId="10" xfId="0" applyFont="1" applyFill="1" applyBorder="1" applyAlignment="1">
      <alignment horizontal="left" vertical="center" wrapText="1"/>
    </xf>
    <xf numFmtId="4" fontId="14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168" fontId="17" fillId="0" borderId="0" xfId="0" applyNumberFormat="1" applyFont="1" applyFill="1" applyAlignment="1">
      <alignment/>
    </xf>
    <xf numFmtId="4" fontId="6" fillId="0" borderId="29" xfId="0" applyFont="1" applyFill="1" applyBorder="1" applyAlignment="1">
      <alignment horizontal="left" vertical="center" wrapText="1"/>
    </xf>
    <xf numFmtId="4" fontId="6" fillId="0" borderId="13" xfId="0" applyFont="1" applyFill="1" applyBorder="1" applyAlignment="1">
      <alignment horizontal="left" vertical="center" wrapText="1"/>
    </xf>
    <xf numFmtId="168" fontId="6" fillId="0" borderId="10" xfId="0" applyNumberFormat="1" applyFont="1" applyFill="1" applyBorder="1" applyAlignment="1">
      <alignment vertical="center" wrapText="1"/>
    </xf>
    <xf numFmtId="168" fontId="5" fillId="0" borderId="31" xfId="0" applyNumberFormat="1" applyFont="1" applyFill="1" applyBorder="1" applyAlignment="1">
      <alignment vertical="center" wrapText="1"/>
    </xf>
    <xf numFmtId="168" fontId="6" fillId="0" borderId="17" xfId="0" applyNumberFormat="1" applyFont="1" applyFill="1" applyBorder="1" applyAlignment="1">
      <alignment vertical="center"/>
    </xf>
    <xf numFmtId="3" fontId="6" fillId="25" borderId="20" xfId="0" applyNumberFormat="1" applyFont="1" applyFill="1" applyBorder="1" applyAlignment="1">
      <alignment vertical="center"/>
    </xf>
    <xf numFmtId="3" fontId="6" fillId="25" borderId="28" xfId="0" applyNumberFormat="1" applyFont="1" applyFill="1" applyBorder="1" applyAlignment="1">
      <alignment horizontal="center" vertical="center"/>
    </xf>
    <xf numFmtId="3" fontId="6" fillId="25" borderId="24" xfId="0" applyNumberFormat="1" applyFont="1" applyFill="1" applyBorder="1" applyAlignment="1">
      <alignment horizontal="center" vertical="center"/>
    </xf>
    <xf numFmtId="3" fontId="6" fillId="25" borderId="25" xfId="0" applyNumberFormat="1" applyFont="1" applyFill="1" applyBorder="1" applyAlignment="1">
      <alignment horizontal="center" vertical="center"/>
    </xf>
    <xf numFmtId="168" fontId="6" fillId="0" borderId="32" xfId="0" applyNumberFormat="1" applyFont="1" applyFill="1" applyBorder="1" applyAlignment="1">
      <alignment vertical="center"/>
    </xf>
    <xf numFmtId="168" fontId="18" fillId="0" borderId="11" xfId="0" applyNumberFormat="1" applyFont="1" applyFill="1" applyBorder="1" applyAlignment="1">
      <alignment vertical="center" wrapText="1"/>
    </xf>
    <xf numFmtId="0" fontId="8" fillId="0" borderId="0" xfId="0" applyNumberFormat="1" applyFont="1" applyAlignment="1">
      <alignment/>
    </xf>
    <xf numFmtId="168" fontId="17" fillId="0" borderId="0" xfId="0" applyNumberFormat="1" applyFont="1" applyFill="1" applyAlignment="1">
      <alignment vertical="center"/>
    </xf>
    <xf numFmtId="0" fontId="17" fillId="0" borderId="0" xfId="0" applyNumberFormat="1" applyFont="1" applyAlignment="1">
      <alignment/>
    </xf>
    <xf numFmtId="168" fontId="18" fillId="0" borderId="0" xfId="0" applyNumberFormat="1" applyFont="1" applyFill="1" applyBorder="1" applyAlignment="1">
      <alignment vertical="center" wrapText="1"/>
    </xf>
    <xf numFmtId="168" fontId="8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0" xfId="0" applyNumberFormat="1" applyFont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168" fontId="7" fillId="0" borderId="0" xfId="0" applyNumberFormat="1" applyFont="1" applyFill="1" applyBorder="1" applyAlignment="1">
      <alignment vertical="center"/>
    </xf>
    <xf numFmtId="168" fontId="25" fillId="0" borderId="0" xfId="0" applyNumberFormat="1" applyFont="1" applyFill="1" applyBorder="1" applyAlignment="1">
      <alignment vertical="center" wrapText="1"/>
    </xf>
    <xf numFmtId="4" fontId="6" fillId="0" borderId="21" xfId="0" applyFont="1" applyFill="1" applyBorder="1" applyAlignment="1">
      <alignment horizontal="left" vertical="center" wrapText="1"/>
    </xf>
    <xf numFmtId="0" fontId="26" fillId="0" borderId="0" xfId="0" applyNumberFormat="1" applyFont="1" applyFill="1" applyAlignment="1">
      <alignment/>
    </xf>
    <xf numFmtId="0" fontId="26" fillId="0" borderId="0" xfId="0" applyNumberFormat="1" applyFont="1" applyAlignment="1">
      <alignment/>
    </xf>
    <xf numFmtId="3" fontId="26" fillId="0" borderId="0" xfId="0" applyNumberFormat="1" applyFont="1" applyFill="1" applyAlignment="1">
      <alignment vertical="center"/>
    </xf>
    <xf numFmtId="4" fontId="6" fillId="0" borderId="0" xfId="0" applyFont="1" applyFill="1" applyBorder="1" applyAlignment="1">
      <alignment horizontal="left" vertical="center" wrapText="1"/>
    </xf>
    <xf numFmtId="4" fontId="9" fillId="0" borderId="0" xfId="0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vertical="center" wrapText="1"/>
    </xf>
    <xf numFmtId="168" fontId="15" fillId="0" borderId="0" xfId="0" applyNumberFormat="1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vertical="center" wrapText="1"/>
    </xf>
    <xf numFmtId="168" fontId="5" fillId="0" borderId="0" xfId="0" applyNumberFormat="1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169" fontId="5" fillId="0" borderId="0" xfId="0" applyNumberFormat="1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vertical="center" wrapText="1"/>
    </xf>
    <xf numFmtId="168" fontId="27" fillId="0" borderId="0" xfId="0" applyNumberFormat="1" applyFont="1" applyFill="1" applyBorder="1" applyAlignment="1">
      <alignment vertical="center" wrapText="1"/>
    </xf>
    <xf numFmtId="168" fontId="28" fillId="0" borderId="0" xfId="0" applyNumberFormat="1" applyFont="1" applyFill="1" applyBorder="1" applyAlignment="1">
      <alignment vertical="center"/>
    </xf>
    <xf numFmtId="168" fontId="27" fillId="0" borderId="0" xfId="0" applyNumberFormat="1" applyFont="1" applyFill="1" applyBorder="1" applyAlignment="1">
      <alignment vertical="center"/>
    </xf>
    <xf numFmtId="169" fontId="28" fillId="0" borderId="0" xfId="0" applyNumberFormat="1" applyFont="1" applyFill="1" applyBorder="1" applyAlignment="1">
      <alignment vertical="center"/>
    </xf>
    <xf numFmtId="168" fontId="18" fillId="0" borderId="0" xfId="52" applyNumberFormat="1" applyFont="1" applyFill="1" applyBorder="1" applyAlignment="1">
      <alignment horizontal="right" vertical="center"/>
      <protection/>
    </xf>
    <xf numFmtId="168" fontId="5" fillId="0" borderId="0" xfId="0" applyNumberFormat="1" applyFont="1" applyFill="1" applyBorder="1" applyAlignment="1">
      <alignment vertical="center" wrapText="1"/>
    </xf>
    <xf numFmtId="0" fontId="26" fillId="0" borderId="0" xfId="0" applyNumberFormat="1" applyFont="1" applyFill="1" applyBorder="1" applyAlignment="1">
      <alignment/>
    </xf>
    <xf numFmtId="0" fontId="17" fillId="0" borderId="0" xfId="0" applyNumberFormat="1" applyFont="1" applyFill="1" applyAlignment="1">
      <alignment/>
    </xf>
    <xf numFmtId="168" fontId="18" fillId="0" borderId="11" xfId="52" applyNumberFormat="1" applyFont="1" applyFill="1" applyBorder="1" applyAlignment="1">
      <alignment horizontal="right" vertical="center"/>
      <protection/>
    </xf>
    <xf numFmtId="168" fontId="5" fillId="0" borderId="15" xfId="0" applyNumberFormat="1" applyFont="1" applyFill="1" applyBorder="1" applyAlignment="1">
      <alignment vertical="center"/>
    </xf>
    <xf numFmtId="168" fontId="5" fillId="0" borderId="16" xfId="0" applyNumberFormat="1" applyFont="1" applyFill="1" applyBorder="1" applyAlignment="1">
      <alignment vertical="center"/>
    </xf>
    <xf numFmtId="168" fontId="0" fillId="0" borderId="0" xfId="0" applyNumberFormat="1" applyFill="1" applyAlignment="1">
      <alignment/>
    </xf>
    <xf numFmtId="3" fontId="11" fillId="0" borderId="17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168" fontId="5" fillId="0" borderId="18" xfId="0" applyNumberFormat="1" applyFont="1" applyFill="1" applyBorder="1" applyAlignment="1">
      <alignment vertical="center"/>
    </xf>
    <xf numFmtId="168" fontId="5" fillId="0" borderId="30" xfId="0" applyNumberFormat="1" applyFont="1" applyFill="1" applyBorder="1" applyAlignment="1">
      <alignment vertical="center"/>
    </xf>
    <xf numFmtId="168" fontId="5" fillId="0" borderId="11" xfId="0" applyNumberFormat="1" applyFont="1" applyFill="1" applyBorder="1" applyAlignment="1">
      <alignment vertical="center"/>
    </xf>
    <xf numFmtId="168" fontId="5" fillId="0" borderId="12" xfId="0" applyNumberFormat="1" applyFont="1" applyFill="1" applyBorder="1" applyAlignment="1">
      <alignment vertical="center"/>
    </xf>
    <xf numFmtId="168" fontId="5" fillId="0" borderId="12" xfId="0" applyNumberFormat="1" applyFont="1" applyFill="1" applyBorder="1" applyAlignment="1">
      <alignment vertical="center" wrapText="1"/>
    </xf>
    <xf numFmtId="168" fontId="5" fillId="0" borderId="11" xfId="0" applyNumberFormat="1" applyFont="1" applyFill="1" applyBorder="1" applyAlignment="1">
      <alignment vertical="center" wrapText="1"/>
    </xf>
    <xf numFmtId="0" fontId="0" fillId="0" borderId="0" xfId="0" applyNumberFormat="1" applyFill="1" applyAlignment="1">
      <alignment vertical="center"/>
    </xf>
    <xf numFmtId="168" fontId="8" fillId="0" borderId="0" xfId="0" applyNumberFormat="1" applyFont="1" applyFill="1" applyAlignment="1">
      <alignment/>
    </xf>
    <xf numFmtId="0" fontId="14" fillId="0" borderId="0" xfId="0" applyNumberFormat="1" applyFont="1" applyAlignment="1">
      <alignment vertical="center"/>
    </xf>
    <xf numFmtId="168" fontId="6" fillId="0" borderId="0" xfId="0" applyNumberFormat="1" applyFont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168" fontId="26" fillId="0" borderId="0" xfId="0" applyNumberFormat="1" applyFont="1" applyFill="1" applyBorder="1" applyAlignment="1">
      <alignment vertical="center"/>
    </xf>
    <xf numFmtId="168" fontId="0" fillId="0" borderId="0" xfId="0" applyNumberFormat="1" applyFill="1" applyBorder="1" applyAlignment="1">
      <alignment vertical="center"/>
    </xf>
    <xf numFmtId="168" fontId="0" fillId="0" borderId="0" xfId="0" applyNumberFormat="1" applyAlignment="1">
      <alignment/>
    </xf>
    <xf numFmtId="168" fontId="6" fillId="24" borderId="15" xfId="0" applyNumberFormat="1" applyFont="1" applyFill="1" applyBorder="1" applyAlignment="1">
      <alignment vertical="center"/>
    </xf>
    <xf numFmtId="168" fontId="6" fillId="24" borderId="16" xfId="0" applyNumberFormat="1" applyFont="1" applyFill="1" applyBorder="1" applyAlignment="1">
      <alignment vertical="center"/>
    </xf>
    <xf numFmtId="168" fontId="6" fillId="0" borderId="16" xfId="0" applyNumberFormat="1" applyFont="1" applyFill="1" applyBorder="1" applyAlignment="1">
      <alignment vertical="center"/>
    </xf>
    <xf numFmtId="0" fontId="11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1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zoomScale="60" zoomScaleNormal="60" zoomScalePageLayoutView="0" workbookViewId="0" topLeftCell="A1">
      <pane xSplit="1" ySplit="4" topLeftCell="B5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87" sqref="R87"/>
    </sheetView>
  </sheetViews>
  <sheetFormatPr defaultColWidth="9.00390625" defaultRowHeight="12.75"/>
  <cols>
    <col min="1" max="1" width="83.625" style="3" customWidth="1"/>
    <col min="2" max="6" width="25.25390625" style="3" customWidth="1"/>
    <col min="7" max="11" width="9.125" style="3" customWidth="1"/>
  </cols>
  <sheetData>
    <row r="1" spans="1:6" s="36" customFormat="1" ht="48" customHeight="1">
      <c r="A1" s="185" t="s">
        <v>29</v>
      </c>
      <c r="B1" s="185"/>
      <c r="C1" s="185"/>
      <c r="D1" s="185"/>
      <c r="E1" s="185"/>
      <c r="F1" s="185"/>
    </row>
    <row r="2" spans="1:6" s="37" customFormat="1" ht="23.25">
      <c r="A2" s="186" t="s">
        <v>51</v>
      </c>
      <c r="B2" s="186"/>
      <c r="C2" s="186"/>
      <c r="D2" s="187"/>
      <c r="E2" s="187"/>
      <c r="F2" s="187"/>
    </row>
    <row r="3" ht="24.75" customHeight="1" thickBot="1">
      <c r="F3" s="55" t="s">
        <v>28</v>
      </c>
    </row>
    <row r="4" spans="1:6" s="1" customFormat="1" ht="29.25" customHeight="1" thickBot="1">
      <c r="A4" s="38" t="s">
        <v>14</v>
      </c>
      <c r="B4" s="53"/>
      <c r="C4" s="42" t="s">
        <v>0</v>
      </c>
      <c r="D4" s="42" t="s">
        <v>1</v>
      </c>
      <c r="E4" s="42" t="s">
        <v>2</v>
      </c>
      <c r="F4" s="43" t="s">
        <v>3</v>
      </c>
    </row>
    <row r="5" spans="1:6" s="2" customFormat="1" ht="57" customHeight="1">
      <c r="A5" s="109" t="s">
        <v>35</v>
      </c>
      <c r="B5" s="44">
        <f aca="true" t="shared" si="0" ref="B5:B55">C5+D5+E5+F5</f>
        <v>93335.15400000001</v>
      </c>
      <c r="C5" s="74">
        <f>C6+C7</f>
        <v>37663.178</v>
      </c>
      <c r="D5" s="74">
        <f>D6+D7</f>
        <v>1122.873</v>
      </c>
      <c r="E5" s="74">
        <f>E6+E7</f>
        <v>24406.9</v>
      </c>
      <c r="F5" s="74">
        <f>F6+F7</f>
        <v>30142.203</v>
      </c>
    </row>
    <row r="6" spans="1:6" s="2" customFormat="1" ht="17.25" customHeight="1">
      <c r="A6" s="97" t="s">
        <v>47</v>
      </c>
      <c r="B6" s="5">
        <f t="shared" si="0"/>
        <v>75038.512</v>
      </c>
      <c r="C6" s="8">
        <f>37663.178-C7</f>
        <v>37602.898</v>
      </c>
      <c r="D6" s="8">
        <f>1122.873-D7</f>
        <v>1121.343</v>
      </c>
      <c r="E6" s="8">
        <f>24406.9-E7</f>
        <v>23297.035</v>
      </c>
      <c r="F6" s="9">
        <f>30142.203-F7</f>
        <v>13017.236</v>
      </c>
    </row>
    <row r="7" spans="1:6" s="2" customFormat="1" ht="18" customHeight="1">
      <c r="A7" s="98" t="s">
        <v>10</v>
      </c>
      <c r="B7" s="5">
        <f t="shared" si="0"/>
        <v>18296.642</v>
      </c>
      <c r="C7" s="17">
        <f>C8+C9</f>
        <v>60.28</v>
      </c>
      <c r="D7" s="17">
        <f>D8+D9</f>
        <v>1.53</v>
      </c>
      <c r="E7" s="17">
        <f>E8+E9</f>
        <v>1109.865</v>
      </c>
      <c r="F7" s="18">
        <f>F8+F9</f>
        <v>17124.967</v>
      </c>
    </row>
    <row r="8" spans="1:6" s="2" customFormat="1" ht="19.5" customHeight="1">
      <c r="A8" s="98" t="s">
        <v>11</v>
      </c>
      <c r="B8" s="5">
        <f t="shared" si="0"/>
        <v>5486.445</v>
      </c>
      <c r="C8" s="70">
        <v>37.528</v>
      </c>
      <c r="D8" s="70"/>
      <c r="E8" s="70">
        <v>285.231</v>
      </c>
      <c r="F8" s="71">
        <v>5163.686</v>
      </c>
    </row>
    <row r="9" spans="1:6" s="2" customFormat="1" ht="19.5" customHeight="1">
      <c r="A9" s="98" t="s">
        <v>12</v>
      </c>
      <c r="B9" s="5">
        <f t="shared" si="0"/>
        <v>12810.197</v>
      </c>
      <c r="C9" s="70">
        <v>22.752</v>
      </c>
      <c r="D9" s="70">
        <v>1.53</v>
      </c>
      <c r="E9" s="70">
        <v>824.634</v>
      </c>
      <c r="F9" s="71">
        <v>11961.281</v>
      </c>
    </row>
    <row r="10" spans="1:6" s="2" customFormat="1" ht="42.75" customHeight="1">
      <c r="A10" s="110" t="s">
        <v>36</v>
      </c>
      <c r="B10" s="5">
        <f t="shared" si="0"/>
        <v>7541.375</v>
      </c>
      <c r="C10" s="17">
        <f>C11+C12</f>
        <v>1172.3899999999999</v>
      </c>
      <c r="D10" s="17"/>
      <c r="E10" s="17">
        <f>E11+E12</f>
        <v>2686.71</v>
      </c>
      <c r="F10" s="18">
        <f>F11+F12</f>
        <v>3682.275</v>
      </c>
    </row>
    <row r="11" spans="1:6" s="2" customFormat="1" ht="21.75" customHeight="1">
      <c r="A11" s="98" t="s">
        <v>13</v>
      </c>
      <c r="B11" s="5">
        <f t="shared" si="0"/>
        <v>4765.285</v>
      </c>
      <c r="C11" s="8">
        <v>1033.86</v>
      </c>
      <c r="D11" s="8"/>
      <c r="E11" s="8">
        <v>2187.709</v>
      </c>
      <c r="F11" s="9">
        <v>1543.716</v>
      </c>
    </row>
    <row r="12" spans="1:6" s="2" customFormat="1" ht="21" customHeight="1">
      <c r="A12" s="98" t="s">
        <v>10</v>
      </c>
      <c r="B12" s="5">
        <f t="shared" si="0"/>
        <v>2776.09</v>
      </c>
      <c r="C12" s="17">
        <f>C13+C14</f>
        <v>138.53</v>
      </c>
      <c r="D12" s="8"/>
      <c r="E12" s="17">
        <f>E13+E14</f>
        <v>499.001</v>
      </c>
      <c r="F12" s="18">
        <f>F13+F14</f>
        <v>2138.559</v>
      </c>
    </row>
    <row r="13" spans="1:6" s="2" customFormat="1" ht="21.75" customHeight="1">
      <c r="A13" s="98" t="s">
        <v>11</v>
      </c>
      <c r="B13" s="5">
        <f t="shared" si="0"/>
        <v>1483.095</v>
      </c>
      <c r="C13" s="70"/>
      <c r="D13" s="70"/>
      <c r="E13" s="70">
        <v>74.905</v>
      </c>
      <c r="F13" s="71">
        <v>1408.19</v>
      </c>
    </row>
    <row r="14" spans="1:6" s="2" customFormat="1" ht="21" customHeight="1">
      <c r="A14" s="98" t="s">
        <v>12</v>
      </c>
      <c r="B14" s="5">
        <f t="shared" si="0"/>
        <v>1292.995</v>
      </c>
      <c r="C14" s="70">
        <v>138.53</v>
      </c>
      <c r="D14" s="70"/>
      <c r="E14" s="70">
        <v>424.096</v>
      </c>
      <c r="F14" s="71">
        <v>730.369</v>
      </c>
    </row>
    <row r="15" spans="1:6" s="2" customFormat="1" ht="39" customHeight="1">
      <c r="A15" s="110" t="s">
        <v>6</v>
      </c>
      <c r="B15" s="5">
        <f t="shared" si="0"/>
        <v>1418.5549999999998</v>
      </c>
      <c r="C15" s="17">
        <f>C16+C17</f>
        <v>1418.5549999999998</v>
      </c>
      <c r="D15" s="8"/>
      <c r="E15" s="8"/>
      <c r="F15" s="9"/>
    </row>
    <row r="16" spans="1:6" s="2" customFormat="1" ht="19.5" customHeight="1">
      <c r="A16" s="98" t="s">
        <v>13</v>
      </c>
      <c r="B16" s="5">
        <f t="shared" si="0"/>
        <v>1416.244</v>
      </c>
      <c r="C16" s="8">
        <v>1416.244</v>
      </c>
      <c r="D16" s="8"/>
      <c r="E16" s="17"/>
      <c r="F16" s="18"/>
    </row>
    <row r="17" spans="1:6" s="2" customFormat="1" ht="20.25" customHeight="1">
      <c r="A17" s="98" t="s">
        <v>10</v>
      </c>
      <c r="B17" s="5">
        <f t="shared" si="0"/>
        <v>2.311</v>
      </c>
      <c r="C17" s="8">
        <f>C18+C19</f>
        <v>2.311</v>
      </c>
      <c r="D17" s="8"/>
      <c r="E17" s="17"/>
      <c r="F17" s="18"/>
    </row>
    <row r="18" spans="1:6" s="2" customFormat="1" ht="20.25" customHeight="1">
      <c r="A18" s="98" t="s">
        <v>11</v>
      </c>
      <c r="B18" s="5">
        <f t="shared" si="0"/>
        <v>2.311</v>
      </c>
      <c r="C18" s="70">
        <v>2.311</v>
      </c>
      <c r="D18" s="70"/>
      <c r="E18" s="70"/>
      <c r="F18" s="71"/>
    </row>
    <row r="19" spans="1:6" s="2" customFormat="1" ht="20.25" customHeight="1">
      <c r="A19" s="98" t="s">
        <v>12</v>
      </c>
      <c r="B19" s="5">
        <f t="shared" si="0"/>
        <v>0</v>
      </c>
      <c r="C19" s="70"/>
      <c r="D19" s="70"/>
      <c r="E19" s="70"/>
      <c r="F19" s="71"/>
    </row>
    <row r="20" spans="1:6" s="2" customFormat="1" ht="39.75" customHeight="1">
      <c r="A20" s="110" t="s">
        <v>37</v>
      </c>
      <c r="B20" s="5">
        <f t="shared" si="0"/>
        <v>1006.479</v>
      </c>
      <c r="C20" s="17">
        <f>C21+C22</f>
        <v>13.476</v>
      </c>
      <c r="D20" s="17">
        <f>D21+D22</f>
        <v>877.014</v>
      </c>
      <c r="E20" s="17">
        <f>E21+E22</f>
        <v>29.594</v>
      </c>
      <c r="F20" s="18">
        <f>F21+F22</f>
        <v>86.395</v>
      </c>
    </row>
    <row r="21" spans="1:6" s="2" customFormat="1" ht="32.25" customHeight="1">
      <c r="A21" s="98" t="s">
        <v>13</v>
      </c>
      <c r="B21" s="5">
        <f t="shared" si="0"/>
        <v>984.9190000000001</v>
      </c>
      <c r="C21" s="8">
        <v>13.476</v>
      </c>
      <c r="D21" s="8">
        <v>877.014</v>
      </c>
      <c r="E21" s="8">
        <v>29.594</v>
      </c>
      <c r="F21" s="9">
        <v>64.835</v>
      </c>
    </row>
    <row r="22" spans="1:6" s="2" customFormat="1" ht="18" customHeight="1">
      <c r="A22" s="98" t="s">
        <v>10</v>
      </c>
      <c r="B22" s="5">
        <f t="shared" si="0"/>
        <v>21.56</v>
      </c>
      <c r="C22" s="8"/>
      <c r="D22" s="8"/>
      <c r="E22" s="17">
        <f>E23+E24</f>
        <v>0</v>
      </c>
      <c r="F22" s="18">
        <f>F23+F24</f>
        <v>21.56</v>
      </c>
    </row>
    <row r="23" spans="1:6" s="2" customFormat="1" ht="25.5" customHeight="1">
      <c r="A23" s="98" t="s">
        <v>11</v>
      </c>
      <c r="B23" s="5">
        <f t="shared" si="0"/>
        <v>21.56</v>
      </c>
      <c r="C23" s="70"/>
      <c r="D23" s="70"/>
      <c r="E23" s="70"/>
      <c r="F23" s="71">
        <v>21.56</v>
      </c>
    </row>
    <row r="24" spans="1:6" s="2" customFormat="1" ht="23.25" customHeight="1">
      <c r="A24" s="98" t="s">
        <v>12</v>
      </c>
      <c r="B24" s="5">
        <f t="shared" si="0"/>
        <v>0</v>
      </c>
      <c r="C24" s="70"/>
      <c r="D24" s="70"/>
      <c r="E24" s="70"/>
      <c r="F24" s="71"/>
    </row>
    <row r="25" spans="1:6" s="2" customFormat="1" ht="23.25" customHeight="1">
      <c r="A25" s="110" t="s">
        <v>7</v>
      </c>
      <c r="B25" s="5">
        <f t="shared" si="0"/>
        <v>12912.513</v>
      </c>
      <c r="C25" s="17">
        <f>C26+C27</f>
        <v>6140.398</v>
      </c>
      <c r="D25" s="17"/>
      <c r="E25" s="17">
        <f>E26+E27</f>
        <v>2408.301</v>
      </c>
      <c r="F25" s="18">
        <f>F26+F27</f>
        <v>4363.814</v>
      </c>
    </row>
    <row r="26" spans="1:6" s="2" customFormat="1" ht="23.25" customHeight="1">
      <c r="A26" s="98" t="s">
        <v>13</v>
      </c>
      <c r="B26" s="5">
        <f t="shared" si="0"/>
        <v>10004.003999999999</v>
      </c>
      <c r="C26" s="8">
        <f>6140.398</f>
        <v>6140.398</v>
      </c>
      <c r="D26" s="8"/>
      <c r="E26" s="17">
        <v>2327.6</v>
      </c>
      <c r="F26" s="18">
        <v>1536.006</v>
      </c>
    </row>
    <row r="27" spans="1:6" s="2" customFormat="1" ht="19.5" customHeight="1">
      <c r="A27" s="98" t="s">
        <v>10</v>
      </c>
      <c r="B27" s="5">
        <f t="shared" si="0"/>
        <v>2908.509</v>
      </c>
      <c r="C27" s="8"/>
      <c r="D27" s="8"/>
      <c r="E27" s="17">
        <f>E28+E29</f>
        <v>80.701</v>
      </c>
      <c r="F27" s="18">
        <f>F28+F29</f>
        <v>2827.808</v>
      </c>
    </row>
    <row r="28" spans="1:6" s="2" customFormat="1" ht="19.5" customHeight="1">
      <c r="A28" s="98" t="s">
        <v>11</v>
      </c>
      <c r="B28" s="5">
        <f t="shared" si="0"/>
        <v>2869.347</v>
      </c>
      <c r="C28" s="70"/>
      <c r="D28" s="70"/>
      <c r="E28" s="70">
        <v>80.701</v>
      </c>
      <c r="F28" s="71">
        <f>2641.212+147.434</f>
        <v>2788.646</v>
      </c>
    </row>
    <row r="29" spans="1:6" s="2" customFormat="1" ht="19.5" customHeight="1">
      <c r="A29" s="98" t="s">
        <v>12</v>
      </c>
      <c r="B29" s="5">
        <f t="shared" si="0"/>
        <v>39.162</v>
      </c>
      <c r="C29" s="70"/>
      <c r="D29" s="70"/>
      <c r="E29" s="70"/>
      <c r="F29" s="71">
        <v>39.162</v>
      </c>
    </row>
    <row r="30" spans="1:6" s="2" customFormat="1" ht="19.5" customHeight="1">
      <c r="A30" s="110" t="s">
        <v>38</v>
      </c>
      <c r="B30" s="5">
        <f t="shared" si="0"/>
        <v>139.371</v>
      </c>
      <c r="C30" s="17"/>
      <c r="D30" s="17"/>
      <c r="E30" s="17">
        <f>E31+E32</f>
        <v>85.247</v>
      </c>
      <c r="F30" s="18">
        <f>F31+F32</f>
        <v>54.124</v>
      </c>
    </row>
    <row r="31" spans="1:6" s="2" customFormat="1" ht="24.75" customHeight="1">
      <c r="A31" s="98" t="s">
        <v>13</v>
      </c>
      <c r="B31" s="5">
        <f t="shared" si="0"/>
        <v>108.116</v>
      </c>
      <c r="C31" s="8"/>
      <c r="D31" s="8"/>
      <c r="E31" s="17">
        <v>85.247</v>
      </c>
      <c r="F31" s="18">
        <v>22.869</v>
      </c>
    </row>
    <row r="32" spans="1:6" s="2" customFormat="1" ht="24.75" customHeight="1">
      <c r="A32" s="98" t="s">
        <v>10</v>
      </c>
      <c r="B32" s="5">
        <f t="shared" si="0"/>
        <v>31.255000000000003</v>
      </c>
      <c r="C32" s="8"/>
      <c r="D32" s="8"/>
      <c r="E32" s="17">
        <f>E33+E34</f>
        <v>0</v>
      </c>
      <c r="F32" s="18">
        <f>F33+F34</f>
        <v>31.255000000000003</v>
      </c>
    </row>
    <row r="33" spans="1:6" s="2" customFormat="1" ht="24.75" customHeight="1">
      <c r="A33" s="98" t="s">
        <v>11</v>
      </c>
      <c r="B33" s="5">
        <f t="shared" si="0"/>
        <v>25.928</v>
      </c>
      <c r="C33" s="70"/>
      <c r="D33" s="70"/>
      <c r="E33" s="70"/>
      <c r="F33" s="71">
        <v>25.928</v>
      </c>
    </row>
    <row r="34" spans="1:6" s="2" customFormat="1" ht="24.75" customHeight="1">
      <c r="A34" s="98" t="s">
        <v>12</v>
      </c>
      <c r="B34" s="5">
        <f t="shared" si="0"/>
        <v>5.327</v>
      </c>
      <c r="C34" s="70"/>
      <c r="D34" s="70"/>
      <c r="E34" s="70"/>
      <c r="F34" s="71">
        <v>5.327</v>
      </c>
    </row>
    <row r="35" spans="1:6" s="2" customFormat="1" ht="24.75" customHeight="1">
      <c r="A35" s="110" t="s">
        <v>39</v>
      </c>
      <c r="B35" s="5">
        <f t="shared" si="0"/>
        <v>195.822</v>
      </c>
      <c r="C35" s="17">
        <f>C36+C37</f>
        <v>0</v>
      </c>
      <c r="D35" s="72"/>
      <c r="E35" s="17">
        <f>E36+E37</f>
        <v>0</v>
      </c>
      <c r="F35" s="18">
        <f>F36+F37</f>
        <v>195.822</v>
      </c>
    </row>
    <row r="36" spans="1:6" s="2" customFormat="1" ht="24.75" customHeight="1">
      <c r="A36" s="98" t="s">
        <v>13</v>
      </c>
      <c r="B36" s="5">
        <f t="shared" si="0"/>
        <v>181.263</v>
      </c>
      <c r="C36" s="8"/>
      <c r="D36" s="8"/>
      <c r="E36" s="8"/>
      <c r="F36" s="9">
        <v>181.263</v>
      </c>
    </row>
    <row r="37" spans="1:6" s="2" customFormat="1" ht="24.75" customHeight="1">
      <c r="A37" s="98" t="s">
        <v>10</v>
      </c>
      <c r="B37" s="5">
        <f t="shared" si="0"/>
        <v>14.559</v>
      </c>
      <c r="C37" s="17">
        <f>C38+C39</f>
        <v>0</v>
      </c>
      <c r="D37" s="8"/>
      <c r="E37" s="17">
        <f>E38+E39</f>
        <v>0</v>
      </c>
      <c r="F37" s="18">
        <f>F38+F39</f>
        <v>14.559</v>
      </c>
    </row>
    <row r="38" spans="1:6" s="2" customFormat="1" ht="24.75" customHeight="1">
      <c r="A38" s="98" t="s">
        <v>11</v>
      </c>
      <c r="B38" s="5">
        <f t="shared" si="0"/>
        <v>0</v>
      </c>
      <c r="C38" s="72"/>
      <c r="D38" s="72"/>
      <c r="E38" s="72"/>
      <c r="F38" s="12"/>
    </row>
    <row r="39" spans="1:6" s="2" customFormat="1" ht="24.75" customHeight="1">
      <c r="A39" s="98" t="s">
        <v>12</v>
      </c>
      <c r="B39" s="5">
        <f t="shared" si="0"/>
        <v>14.559</v>
      </c>
      <c r="C39" s="72"/>
      <c r="D39" s="72"/>
      <c r="E39" s="72"/>
      <c r="F39" s="12">
        <v>14.559</v>
      </c>
    </row>
    <row r="40" spans="1:6" s="2" customFormat="1" ht="24.75" customHeight="1">
      <c r="A40" s="110" t="s">
        <v>24</v>
      </c>
      <c r="B40" s="5">
        <f t="shared" si="0"/>
        <v>204.936</v>
      </c>
      <c r="C40" s="72">
        <f>C41+C42</f>
        <v>45.156</v>
      </c>
      <c r="D40" s="72"/>
      <c r="E40" s="72">
        <f>E41+E42</f>
        <v>159.78</v>
      </c>
      <c r="F40" s="18"/>
    </row>
    <row r="41" spans="1:6" s="2" customFormat="1" ht="30" customHeight="1">
      <c r="A41" s="98" t="s">
        <v>13</v>
      </c>
      <c r="B41" s="5">
        <f t="shared" si="0"/>
        <v>204.936</v>
      </c>
      <c r="C41" s="8">
        <v>45.156</v>
      </c>
      <c r="D41" s="8"/>
      <c r="E41" s="8">
        <v>159.78</v>
      </c>
      <c r="F41" s="9"/>
    </row>
    <row r="42" spans="1:6" s="2" customFormat="1" ht="26.25" customHeight="1">
      <c r="A42" s="98" t="s">
        <v>10</v>
      </c>
      <c r="B42" s="5">
        <f t="shared" si="0"/>
        <v>0</v>
      </c>
      <c r="C42" s="17">
        <f>C43+C44</f>
        <v>0</v>
      </c>
      <c r="D42" s="8"/>
      <c r="E42" s="17">
        <f>E43+E44</f>
        <v>0</v>
      </c>
      <c r="F42" s="18"/>
    </row>
    <row r="43" spans="1:6" s="2" customFormat="1" ht="26.25" customHeight="1">
      <c r="A43" s="98" t="s">
        <v>11</v>
      </c>
      <c r="B43" s="5">
        <f t="shared" si="0"/>
        <v>0</v>
      </c>
      <c r="C43" s="72"/>
      <c r="D43" s="72"/>
      <c r="E43" s="72"/>
      <c r="F43" s="12"/>
    </row>
    <row r="44" spans="1:6" s="2" customFormat="1" ht="26.25" customHeight="1">
      <c r="A44" s="98" t="s">
        <v>12</v>
      </c>
      <c r="B44" s="5">
        <f t="shared" si="0"/>
        <v>0</v>
      </c>
      <c r="C44" s="72"/>
      <c r="D44" s="72"/>
      <c r="E44" s="72"/>
      <c r="F44" s="12"/>
    </row>
    <row r="45" spans="1:6" s="2" customFormat="1" ht="19.5" customHeight="1">
      <c r="A45" s="27" t="s">
        <v>26</v>
      </c>
      <c r="B45" s="5">
        <f t="shared" si="0"/>
        <v>506.289</v>
      </c>
      <c r="C45" s="10"/>
      <c r="D45" s="8"/>
      <c r="E45" s="8">
        <f>E46+E47</f>
        <v>360.513</v>
      </c>
      <c r="F45" s="9">
        <f>F46+F47</f>
        <v>145.776</v>
      </c>
    </row>
    <row r="46" spans="1:7" s="46" customFormat="1" ht="24.75" customHeight="1">
      <c r="A46" s="98" t="s">
        <v>13</v>
      </c>
      <c r="B46" s="5">
        <f t="shared" si="0"/>
        <v>506.289</v>
      </c>
      <c r="C46" s="8"/>
      <c r="D46" s="8"/>
      <c r="E46" s="17">
        <v>360.513</v>
      </c>
      <c r="F46" s="18">
        <v>145.776</v>
      </c>
      <c r="G46" s="45"/>
    </row>
    <row r="47" spans="1:6" s="46" customFormat="1" ht="18.75" customHeight="1">
      <c r="A47" s="98" t="s">
        <v>10</v>
      </c>
      <c r="B47" s="5">
        <f t="shared" si="0"/>
        <v>0</v>
      </c>
      <c r="C47" s="8"/>
      <c r="D47" s="8"/>
      <c r="E47" s="17">
        <f>E48+E49</f>
        <v>0</v>
      </c>
      <c r="F47" s="18">
        <f>F48+F49</f>
        <v>0</v>
      </c>
    </row>
    <row r="48" spans="1:7" s="46" customFormat="1" ht="24" customHeight="1">
      <c r="A48" s="98" t="s">
        <v>11</v>
      </c>
      <c r="B48" s="5">
        <f t="shared" si="0"/>
        <v>0</v>
      </c>
      <c r="C48" s="10"/>
      <c r="D48" s="8"/>
      <c r="E48" s="10"/>
      <c r="F48" s="14"/>
      <c r="G48" s="45"/>
    </row>
    <row r="49" spans="1:7" s="50" customFormat="1" ht="30" customHeight="1">
      <c r="A49" s="98" t="s">
        <v>12</v>
      </c>
      <c r="B49" s="5">
        <f t="shared" si="0"/>
        <v>0</v>
      </c>
      <c r="C49" s="10"/>
      <c r="D49" s="8"/>
      <c r="E49" s="10"/>
      <c r="F49" s="14"/>
      <c r="G49" s="49"/>
    </row>
    <row r="50" spans="1:6" s="33" customFormat="1" ht="36" customHeight="1">
      <c r="A50" s="27" t="s">
        <v>4</v>
      </c>
      <c r="B50" s="5">
        <f t="shared" si="0"/>
        <v>821.504</v>
      </c>
      <c r="C50" s="8">
        <f>C51+C52</f>
        <v>821.504</v>
      </c>
      <c r="D50" s="8"/>
      <c r="E50" s="8"/>
      <c r="F50" s="9"/>
    </row>
    <row r="51" spans="1:6" s="33" customFormat="1" ht="30" customHeight="1">
      <c r="A51" s="98" t="s">
        <v>13</v>
      </c>
      <c r="B51" s="5">
        <f t="shared" si="0"/>
        <v>821.504</v>
      </c>
      <c r="C51" s="17">
        <f>821.504</f>
        <v>821.504</v>
      </c>
      <c r="D51" s="8"/>
      <c r="E51" s="17">
        <f>E50-E52</f>
        <v>0</v>
      </c>
      <c r="F51" s="18">
        <f>F50-F52</f>
        <v>0</v>
      </c>
    </row>
    <row r="52" spans="1:6" ht="18.75">
      <c r="A52" s="98" t="s">
        <v>10</v>
      </c>
      <c r="B52" s="5">
        <f t="shared" si="0"/>
        <v>0</v>
      </c>
      <c r="C52" s="17">
        <f>C53+C54</f>
        <v>0</v>
      </c>
      <c r="D52" s="8"/>
      <c r="E52" s="17">
        <f>E53+E54</f>
        <v>0</v>
      </c>
      <c r="F52" s="18">
        <f>F53+F54</f>
        <v>0</v>
      </c>
    </row>
    <row r="53" spans="1:6" ht="18.75">
      <c r="A53" s="98" t="s">
        <v>11</v>
      </c>
      <c r="B53" s="5">
        <f t="shared" si="0"/>
        <v>0</v>
      </c>
      <c r="C53" s="70"/>
      <c r="D53" s="8"/>
      <c r="E53" s="8"/>
      <c r="F53" s="9"/>
    </row>
    <row r="54" spans="1:6" ht="18.75">
      <c r="A54" s="98" t="s">
        <v>12</v>
      </c>
      <c r="B54" s="5">
        <f t="shared" si="0"/>
        <v>0</v>
      </c>
      <c r="C54" s="70"/>
      <c r="D54" s="8"/>
      <c r="E54" s="8"/>
      <c r="F54" s="9"/>
    </row>
    <row r="55" spans="1:6" ht="54">
      <c r="A55" s="110" t="s">
        <v>40</v>
      </c>
      <c r="B55" s="5">
        <f t="shared" si="0"/>
        <v>1730.288</v>
      </c>
      <c r="C55" s="8">
        <f>C56+C57</f>
        <v>694.748</v>
      </c>
      <c r="D55" s="8"/>
      <c r="E55" s="8">
        <f>E56+E57</f>
        <v>466.54</v>
      </c>
      <c r="F55" s="9">
        <f>F56+F57</f>
        <v>569</v>
      </c>
    </row>
    <row r="56" spans="1:6" ht="18.75">
      <c r="A56" s="98" t="s">
        <v>13</v>
      </c>
      <c r="B56" s="111">
        <f aca="true" t="shared" si="1" ref="B56:B109">C56+D56+E56+F56</f>
        <v>1347.248</v>
      </c>
      <c r="C56" s="112">
        <f>694.748</f>
        <v>694.748</v>
      </c>
      <c r="D56" s="82"/>
      <c r="E56" s="82">
        <v>466.54</v>
      </c>
      <c r="F56" s="83">
        <v>185.96</v>
      </c>
    </row>
    <row r="57" spans="1:6" ht="18.75">
      <c r="A57" s="98" t="s">
        <v>10</v>
      </c>
      <c r="B57" s="5">
        <f t="shared" si="1"/>
        <v>383.03999999999996</v>
      </c>
      <c r="C57" s="70"/>
      <c r="D57" s="8"/>
      <c r="E57" s="8">
        <f>E59+E58</f>
        <v>0</v>
      </c>
      <c r="F57" s="9">
        <f>F59+F58</f>
        <v>383.03999999999996</v>
      </c>
    </row>
    <row r="58" spans="1:6" ht="18.75">
      <c r="A58" s="98" t="s">
        <v>11</v>
      </c>
      <c r="B58" s="5">
        <f t="shared" si="1"/>
        <v>334.135</v>
      </c>
      <c r="C58" s="70"/>
      <c r="D58" s="8"/>
      <c r="E58" s="10"/>
      <c r="F58" s="14">
        <v>334.135</v>
      </c>
    </row>
    <row r="59" spans="1:6" ht="18.75">
      <c r="A59" s="98" t="s">
        <v>12</v>
      </c>
      <c r="B59" s="5">
        <f t="shared" si="1"/>
        <v>48.905</v>
      </c>
      <c r="C59" s="70"/>
      <c r="D59" s="8"/>
      <c r="E59" s="10"/>
      <c r="F59" s="14">
        <v>48.905</v>
      </c>
    </row>
    <row r="60" spans="1:6" ht="18">
      <c r="A60" s="110" t="s">
        <v>25</v>
      </c>
      <c r="B60" s="5">
        <f t="shared" si="1"/>
        <v>2000.94</v>
      </c>
      <c r="C60" s="8">
        <f>C61+C62</f>
        <v>1983.04</v>
      </c>
      <c r="D60" s="8"/>
      <c r="E60" s="8">
        <f>E61+E62</f>
        <v>0</v>
      </c>
      <c r="F60" s="9">
        <f>F61+F62</f>
        <v>17.9</v>
      </c>
    </row>
    <row r="61" spans="1:6" ht="18.75">
      <c r="A61" s="98" t="s">
        <v>13</v>
      </c>
      <c r="B61" s="5">
        <f t="shared" si="1"/>
        <v>2000.94</v>
      </c>
      <c r="C61" s="82">
        <f>1983.04</f>
        <v>1983.04</v>
      </c>
      <c r="D61" s="82"/>
      <c r="E61" s="82"/>
      <c r="F61" s="83">
        <v>17.9</v>
      </c>
    </row>
    <row r="62" spans="1:6" ht="18.75">
      <c r="A62" s="98" t="s">
        <v>10</v>
      </c>
      <c r="B62" s="5">
        <f t="shared" si="1"/>
        <v>0</v>
      </c>
      <c r="C62" s="70"/>
      <c r="D62" s="8"/>
      <c r="E62" s="8">
        <f>E64+E63</f>
        <v>0</v>
      </c>
      <c r="F62" s="9">
        <f>F64+F63</f>
        <v>0</v>
      </c>
    </row>
    <row r="63" spans="1:6" ht="18.75">
      <c r="A63" s="98" t="s">
        <v>11</v>
      </c>
      <c r="B63" s="5">
        <f t="shared" si="1"/>
        <v>0</v>
      </c>
      <c r="C63" s="70"/>
      <c r="D63" s="8"/>
      <c r="E63" s="10"/>
      <c r="F63" s="14"/>
    </row>
    <row r="64" spans="1:6" ht="18.75">
      <c r="A64" s="98" t="s">
        <v>12</v>
      </c>
      <c r="B64" s="5">
        <f t="shared" si="1"/>
        <v>0</v>
      </c>
      <c r="C64" s="70"/>
      <c r="D64" s="8"/>
      <c r="E64" s="10"/>
      <c r="F64" s="14"/>
    </row>
    <row r="65" spans="1:6" ht="18">
      <c r="A65" s="110" t="s">
        <v>41</v>
      </c>
      <c r="B65" s="5">
        <f t="shared" si="1"/>
        <v>50.546</v>
      </c>
      <c r="C65" s="8">
        <f>C66+C67</f>
        <v>0</v>
      </c>
      <c r="D65" s="8"/>
      <c r="E65" s="8">
        <f>E66+E67</f>
        <v>50.546</v>
      </c>
      <c r="F65" s="9">
        <f>F66+F67</f>
        <v>0</v>
      </c>
    </row>
    <row r="66" spans="1:6" ht="18.75">
      <c r="A66" s="98" t="s">
        <v>13</v>
      </c>
      <c r="B66" s="5">
        <f t="shared" si="1"/>
        <v>50.546</v>
      </c>
      <c r="C66" s="82"/>
      <c r="D66" s="82"/>
      <c r="E66" s="82">
        <v>50.546</v>
      </c>
      <c r="F66" s="83"/>
    </row>
    <row r="67" spans="1:6" ht="18.75">
      <c r="A67" s="98" t="s">
        <v>10</v>
      </c>
      <c r="B67" s="5">
        <f t="shared" si="1"/>
        <v>0</v>
      </c>
      <c r="C67" s="70"/>
      <c r="D67" s="8"/>
      <c r="E67" s="8">
        <f>E69+E68</f>
        <v>0</v>
      </c>
      <c r="F67" s="9">
        <f>F69+F68</f>
        <v>0</v>
      </c>
    </row>
    <row r="68" spans="1:6" ht="18.75">
      <c r="A68" s="98" t="s">
        <v>11</v>
      </c>
      <c r="B68" s="5">
        <f t="shared" si="1"/>
        <v>0</v>
      </c>
      <c r="C68" s="70"/>
      <c r="D68" s="8"/>
      <c r="E68" s="10"/>
      <c r="F68" s="14"/>
    </row>
    <row r="69" spans="1:6" ht="18.75">
      <c r="A69" s="98" t="s">
        <v>12</v>
      </c>
      <c r="B69" s="5">
        <f t="shared" si="1"/>
        <v>0</v>
      </c>
      <c r="C69" s="70"/>
      <c r="D69" s="8"/>
      <c r="E69" s="10"/>
      <c r="F69" s="14"/>
    </row>
    <row r="70" spans="1:6" ht="18">
      <c r="A70" s="110" t="s">
        <v>23</v>
      </c>
      <c r="B70" s="5">
        <f t="shared" si="1"/>
        <v>111.294</v>
      </c>
      <c r="C70" s="70"/>
      <c r="D70" s="8"/>
      <c r="E70" s="8">
        <f>E71+E72</f>
        <v>0</v>
      </c>
      <c r="F70" s="9">
        <f>F71+F72</f>
        <v>111.294</v>
      </c>
    </row>
    <row r="71" spans="1:6" ht="18.75">
      <c r="A71" s="98" t="s">
        <v>13</v>
      </c>
      <c r="B71" s="5">
        <f t="shared" si="1"/>
        <v>20.824</v>
      </c>
      <c r="C71" s="70"/>
      <c r="D71" s="8"/>
      <c r="E71" s="8"/>
      <c r="F71" s="84">
        <v>20.824</v>
      </c>
    </row>
    <row r="72" spans="1:6" ht="18.75">
      <c r="A72" s="98" t="s">
        <v>10</v>
      </c>
      <c r="B72" s="5">
        <f t="shared" si="1"/>
        <v>90.47</v>
      </c>
      <c r="C72" s="70"/>
      <c r="D72" s="8"/>
      <c r="E72" s="8">
        <f>E74+E73</f>
        <v>0</v>
      </c>
      <c r="F72" s="9">
        <f>F74+F73</f>
        <v>90.47</v>
      </c>
    </row>
    <row r="73" spans="1:6" ht="18.75">
      <c r="A73" s="98" t="s">
        <v>11</v>
      </c>
      <c r="B73" s="5">
        <f t="shared" si="1"/>
        <v>90.47</v>
      </c>
      <c r="C73" s="70"/>
      <c r="D73" s="8"/>
      <c r="E73" s="10"/>
      <c r="F73" s="14">
        <v>90.47</v>
      </c>
    </row>
    <row r="74" spans="1:6" ht="18.75">
      <c r="A74" s="98" t="s">
        <v>12</v>
      </c>
      <c r="B74" s="5">
        <f t="shared" si="1"/>
        <v>0</v>
      </c>
      <c r="C74" s="70"/>
      <c r="D74" s="8"/>
      <c r="E74" s="10"/>
      <c r="F74" s="14"/>
    </row>
    <row r="75" spans="1:6" ht="36">
      <c r="A75" s="110" t="s">
        <v>42</v>
      </c>
      <c r="B75" s="5">
        <f t="shared" si="1"/>
        <v>324.93500000000006</v>
      </c>
      <c r="C75" s="70"/>
      <c r="D75" s="8"/>
      <c r="E75" s="8">
        <f>E76+E77</f>
        <v>24.273</v>
      </c>
      <c r="F75" s="9">
        <f>F76+F77</f>
        <v>300.66200000000003</v>
      </c>
    </row>
    <row r="76" spans="1:6" ht="18.75">
      <c r="A76" s="98" t="s">
        <v>13</v>
      </c>
      <c r="B76" s="5">
        <f t="shared" si="1"/>
        <v>92.11099999999999</v>
      </c>
      <c r="C76" s="70"/>
      <c r="D76" s="8"/>
      <c r="E76" s="8">
        <v>24.273</v>
      </c>
      <c r="F76" s="84">
        <v>67.838</v>
      </c>
    </row>
    <row r="77" spans="1:6" ht="18.75">
      <c r="A77" s="98" t="s">
        <v>10</v>
      </c>
      <c r="B77" s="5">
        <f t="shared" si="1"/>
        <v>232.824</v>
      </c>
      <c r="C77" s="70"/>
      <c r="D77" s="8"/>
      <c r="E77" s="8">
        <f>E79+E78</f>
        <v>0</v>
      </c>
      <c r="F77" s="9">
        <f>F79+F78</f>
        <v>232.824</v>
      </c>
    </row>
    <row r="78" spans="1:6" ht="18.75">
      <c r="A78" s="98" t="s">
        <v>11</v>
      </c>
      <c r="B78" s="5">
        <f t="shared" si="1"/>
        <v>0</v>
      </c>
      <c r="C78" s="70"/>
      <c r="D78" s="8"/>
      <c r="E78" s="8"/>
      <c r="F78" s="9"/>
    </row>
    <row r="79" spans="1:6" ht="18.75">
      <c r="A79" s="98" t="s">
        <v>12</v>
      </c>
      <c r="B79" s="5">
        <f t="shared" si="1"/>
        <v>232.824</v>
      </c>
      <c r="C79" s="70"/>
      <c r="D79" s="8"/>
      <c r="E79" s="8"/>
      <c r="F79" s="9">
        <v>232.824</v>
      </c>
    </row>
    <row r="80" spans="1:6" ht="18">
      <c r="A80" s="110" t="s">
        <v>21</v>
      </c>
      <c r="B80" s="5">
        <f t="shared" si="1"/>
        <v>359.646</v>
      </c>
      <c r="C80" s="8">
        <f>C81+C82</f>
        <v>0</v>
      </c>
      <c r="D80" s="8"/>
      <c r="E80" s="8">
        <f>E81+E82</f>
        <v>359.646</v>
      </c>
      <c r="F80" s="9">
        <f>F81+F82</f>
        <v>0</v>
      </c>
    </row>
    <row r="81" spans="1:6" ht="18.75">
      <c r="A81" s="98" t="s">
        <v>13</v>
      </c>
      <c r="B81" s="5">
        <f t="shared" si="1"/>
        <v>359.646</v>
      </c>
      <c r="C81" s="82"/>
      <c r="D81" s="82"/>
      <c r="E81" s="82">
        <v>359.646</v>
      </c>
      <c r="F81" s="83"/>
    </row>
    <row r="82" spans="1:6" ht="18.75">
      <c r="A82" s="98" t="s">
        <v>10</v>
      </c>
      <c r="B82" s="5">
        <f t="shared" si="1"/>
        <v>0</v>
      </c>
      <c r="C82" s="70"/>
      <c r="D82" s="8"/>
      <c r="E82" s="8">
        <f>E84+E83</f>
        <v>0</v>
      </c>
      <c r="F82" s="9">
        <f>F84+F83</f>
        <v>0</v>
      </c>
    </row>
    <row r="83" spans="1:6" ht="18.75">
      <c r="A83" s="98" t="s">
        <v>11</v>
      </c>
      <c r="B83" s="5">
        <f t="shared" si="1"/>
        <v>0</v>
      </c>
      <c r="C83" s="70"/>
      <c r="D83" s="8"/>
      <c r="E83" s="10"/>
      <c r="F83" s="14"/>
    </row>
    <row r="84" spans="1:6" ht="18.75">
      <c r="A84" s="98" t="s">
        <v>12</v>
      </c>
      <c r="B84" s="5">
        <f t="shared" si="1"/>
        <v>0</v>
      </c>
      <c r="C84" s="70"/>
      <c r="D84" s="8"/>
      <c r="E84" s="10"/>
      <c r="F84" s="14"/>
    </row>
    <row r="85" spans="1:6" ht="18">
      <c r="A85" s="110" t="s">
        <v>22</v>
      </c>
      <c r="B85" s="5">
        <f t="shared" si="1"/>
        <v>618.156</v>
      </c>
      <c r="C85" s="70"/>
      <c r="D85" s="8"/>
      <c r="E85" s="8">
        <f>E86+E87</f>
        <v>618.156</v>
      </c>
      <c r="F85" s="9">
        <f>F86+F87</f>
        <v>0</v>
      </c>
    </row>
    <row r="86" spans="1:6" ht="18.75">
      <c r="A86" s="98" t="s">
        <v>13</v>
      </c>
      <c r="B86" s="5">
        <f t="shared" si="1"/>
        <v>618.156</v>
      </c>
      <c r="C86" s="70"/>
      <c r="D86" s="8"/>
      <c r="E86" s="8">
        <v>618.156</v>
      </c>
      <c r="F86" s="84"/>
    </row>
    <row r="87" spans="1:6" ht="18.75">
      <c r="A87" s="98" t="s">
        <v>10</v>
      </c>
      <c r="B87" s="5">
        <f t="shared" si="1"/>
        <v>0</v>
      </c>
      <c r="C87" s="70"/>
      <c r="D87" s="8"/>
      <c r="E87" s="8">
        <f>E89+E88</f>
        <v>0</v>
      </c>
      <c r="F87" s="9">
        <f>F89+F88</f>
        <v>0</v>
      </c>
    </row>
    <row r="88" spans="1:6" ht="18.75">
      <c r="A88" s="98" t="s">
        <v>11</v>
      </c>
      <c r="B88" s="5">
        <f t="shared" si="1"/>
        <v>0</v>
      </c>
      <c r="C88" s="70"/>
      <c r="D88" s="8"/>
      <c r="E88" s="10"/>
      <c r="F88" s="14"/>
    </row>
    <row r="89" spans="1:6" ht="18.75">
      <c r="A89" s="98" t="s">
        <v>12</v>
      </c>
      <c r="B89" s="5">
        <f t="shared" si="1"/>
        <v>0</v>
      </c>
      <c r="C89" s="70"/>
      <c r="D89" s="8"/>
      <c r="E89" s="10"/>
      <c r="F89" s="14"/>
    </row>
    <row r="90" spans="1:6" ht="18">
      <c r="A90" s="110" t="s">
        <v>49</v>
      </c>
      <c r="B90" s="5">
        <f t="shared" si="1"/>
        <v>0</v>
      </c>
      <c r="C90" s="70"/>
      <c r="D90" s="8"/>
      <c r="E90" s="8">
        <f>E91+E92</f>
        <v>0</v>
      </c>
      <c r="F90" s="9">
        <f>F91+F92</f>
        <v>0</v>
      </c>
    </row>
    <row r="91" spans="1:6" ht="18.75">
      <c r="A91" s="98" t="s">
        <v>13</v>
      </c>
      <c r="B91" s="5">
        <f t="shared" si="1"/>
        <v>0</v>
      </c>
      <c r="C91" s="70"/>
      <c r="D91" s="8"/>
      <c r="E91" s="8"/>
      <c r="F91" s="84"/>
    </row>
    <row r="92" spans="1:6" ht="18.75">
      <c r="A92" s="98" t="s">
        <v>10</v>
      </c>
      <c r="B92" s="5">
        <f t="shared" si="1"/>
        <v>0</v>
      </c>
      <c r="C92" s="70"/>
      <c r="D92" s="8"/>
      <c r="E92" s="8">
        <f>E94+E93</f>
        <v>0</v>
      </c>
      <c r="F92" s="9">
        <f>F94+F93</f>
        <v>0</v>
      </c>
    </row>
    <row r="93" spans="1:6" ht="18.75">
      <c r="A93" s="98" t="s">
        <v>11</v>
      </c>
      <c r="B93" s="5">
        <f t="shared" si="1"/>
        <v>0</v>
      </c>
      <c r="C93" s="70"/>
      <c r="D93" s="8"/>
      <c r="E93" s="8"/>
      <c r="F93" s="9"/>
    </row>
    <row r="94" spans="1:6" ht="27.75" customHeight="1">
      <c r="A94" s="98" t="s">
        <v>12</v>
      </c>
      <c r="B94" s="5">
        <f t="shared" si="1"/>
        <v>0</v>
      </c>
      <c r="C94" s="70"/>
      <c r="D94" s="8"/>
      <c r="E94" s="8"/>
      <c r="F94" s="9"/>
    </row>
    <row r="95" spans="1:6" ht="18">
      <c r="A95" s="110" t="s">
        <v>8</v>
      </c>
      <c r="B95" s="5">
        <f t="shared" si="1"/>
        <v>2132.0080000000003</v>
      </c>
      <c r="C95" s="17">
        <f>C96+C97</f>
        <v>0</v>
      </c>
      <c r="D95" s="8"/>
      <c r="E95" s="17">
        <f>E96+E97</f>
        <v>1172.564</v>
      </c>
      <c r="F95" s="18">
        <f>F96+F97</f>
        <v>959.4440000000002</v>
      </c>
    </row>
    <row r="96" spans="1:6" ht="18.75">
      <c r="A96" s="98" t="s">
        <v>13</v>
      </c>
      <c r="B96" s="5">
        <f t="shared" si="1"/>
        <v>1206.063</v>
      </c>
      <c r="C96" s="8"/>
      <c r="D96" s="8"/>
      <c r="E96" s="17">
        <v>954.941</v>
      </c>
      <c r="F96" s="18">
        <v>251.122</v>
      </c>
    </row>
    <row r="97" spans="1:6" ht="18.75">
      <c r="A97" s="98" t="s">
        <v>10</v>
      </c>
      <c r="B97" s="5">
        <f t="shared" si="1"/>
        <v>925.9450000000002</v>
      </c>
      <c r="C97" s="8"/>
      <c r="D97" s="8"/>
      <c r="E97" s="17">
        <f>E98+E99</f>
        <v>217.62300000000002</v>
      </c>
      <c r="F97" s="18">
        <f>F98+F99</f>
        <v>708.3220000000001</v>
      </c>
    </row>
    <row r="98" spans="1:6" ht="18.75">
      <c r="A98" s="98" t="s">
        <v>11</v>
      </c>
      <c r="B98" s="5">
        <f t="shared" si="1"/>
        <v>811.969</v>
      </c>
      <c r="C98" s="8"/>
      <c r="D98" s="8"/>
      <c r="E98" s="70">
        <f>203.513+12.08</f>
        <v>215.59300000000002</v>
      </c>
      <c r="F98" s="71">
        <f>527.176+69.2</f>
        <v>596.3760000000001</v>
      </c>
    </row>
    <row r="99" spans="1:6" ht="18.75">
      <c r="A99" s="98" t="s">
        <v>12</v>
      </c>
      <c r="B99" s="5">
        <f t="shared" si="1"/>
        <v>113.976</v>
      </c>
      <c r="C99" s="8"/>
      <c r="D99" s="8"/>
      <c r="E99" s="70">
        <v>2.03</v>
      </c>
      <c r="F99" s="71">
        <v>111.946</v>
      </c>
    </row>
    <row r="100" spans="1:6" ht="18">
      <c r="A100" s="110" t="s">
        <v>5</v>
      </c>
      <c r="B100" s="5">
        <f t="shared" si="1"/>
        <v>3831.12</v>
      </c>
      <c r="C100" s="17">
        <f>C101+C102</f>
        <v>394.014</v>
      </c>
      <c r="D100" s="8"/>
      <c r="E100" s="17">
        <f>E101+E102</f>
        <v>2471.123</v>
      </c>
      <c r="F100" s="18">
        <f>F101+F102</f>
        <v>965.983</v>
      </c>
    </row>
    <row r="101" spans="1:6" ht="18.75">
      <c r="A101" s="98" t="s">
        <v>13</v>
      </c>
      <c r="B101" s="5">
        <f t="shared" si="1"/>
        <v>2645.537</v>
      </c>
      <c r="C101" s="17">
        <v>394.014</v>
      </c>
      <c r="D101" s="8"/>
      <c r="E101" s="17">
        <v>1950.305</v>
      </c>
      <c r="F101" s="18">
        <v>301.218</v>
      </c>
    </row>
    <row r="102" spans="1:6" ht="18.75">
      <c r="A102" s="98" t="s">
        <v>10</v>
      </c>
      <c r="B102" s="5">
        <f t="shared" si="1"/>
        <v>1185.583</v>
      </c>
      <c r="C102" s="8"/>
      <c r="D102" s="8"/>
      <c r="E102" s="17">
        <f>E103+E104</f>
        <v>520.818</v>
      </c>
      <c r="F102" s="18">
        <f>F103+F104</f>
        <v>664.765</v>
      </c>
    </row>
    <row r="103" spans="1:6" ht="18.75">
      <c r="A103" s="98" t="s">
        <v>11</v>
      </c>
      <c r="B103" s="5">
        <f t="shared" si="1"/>
        <v>1160.983</v>
      </c>
      <c r="C103" s="70"/>
      <c r="D103" s="70"/>
      <c r="E103" s="70">
        <f>407.134+89.084</f>
        <v>496.218</v>
      </c>
      <c r="F103" s="71">
        <f>576.307+88.458</f>
        <v>664.765</v>
      </c>
    </row>
    <row r="104" spans="1:6" ht="18.75">
      <c r="A104" s="98" t="s">
        <v>12</v>
      </c>
      <c r="B104" s="5">
        <f t="shared" si="1"/>
        <v>24.6</v>
      </c>
      <c r="C104" s="70"/>
      <c r="D104" s="70"/>
      <c r="E104" s="70">
        <v>24.6</v>
      </c>
      <c r="F104" s="71"/>
    </row>
    <row r="105" spans="1:6" ht="18">
      <c r="A105" s="110" t="s">
        <v>43</v>
      </c>
      <c r="B105" s="5">
        <f>C105+D105+E105+F105</f>
        <v>6983.407999999999</v>
      </c>
      <c r="C105" s="17">
        <f>C106+C107</f>
        <v>0</v>
      </c>
      <c r="D105" s="8"/>
      <c r="E105" s="17">
        <f>E106+E107</f>
        <v>1657.731</v>
      </c>
      <c r="F105" s="18">
        <f>F106+F107</f>
        <v>5325.677</v>
      </c>
    </row>
    <row r="106" spans="1:6" ht="18.75">
      <c r="A106" s="98" t="s">
        <v>13</v>
      </c>
      <c r="B106" s="5">
        <f t="shared" si="1"/>
        <v>3541.599</v>
      </c>
      <c r="C106" s="8"/>
      <c r="D106" s="8"/>
      <c r="E106" s="17">
        <v>1598.25</v>
      </c>
      <c r="F106" s="18">
        <v>1943.349</v>
      </c>
    </row>
    <row r="107" spans="1:6" ht="18.75">
      <c r="A107" s="98" t="s">
        <v>10</v>
      </c>
      <c r="B107" s="5">
        <f t="shared" si="1"/>
        <v>3441.809</v>
      </c>
      <c r="C107" s="8"/>
      <c r="D107" s="8"/>
      <c r="E107" s="17">
        <f>E108+E109</f>
        <v>59.481</v>
      </c>
      <c r="F107" s="18">
        <f>F108+F109</f>
        <v>3382.328</v>
      </c>
    </row>
    <row r="108" spans="1:6" ht="18.75">
      <c r="A108" s="98" t="s">
        <v>11</v>
      </c>
      <c r="B108" s="5">
        <f t="shared" si="1"/>
        <v>679.3100000000001</v>
      </c>
      <c r="C108" s="10"/>
      <c r="D108" s="8"/>
      <c r="E108" s="70">
        <v>24.719</v>
      </c>
      <c r="F108" s="71">
        <v>654.591</v>
      </c>
    </row>
    <row r="109" spans="1:6" ht="19.5" thickBot="1">
      <c r="A109" s="99" t="s">
        <v>12</v>
      </c>
      <c r="B109" s="29">
        <f t="shared" si="1"/>
        <v>2762.4990000000003</v>
      </c>
      <c r="C109" s="21"/>
      <c r="D109" s="19"/>
      <c r="E109" s="86">
        <v>34.762</v>
      </c>
      <c r="F109" s="87">
        <v>2727.737</v>
      </c>
    </row>
    <row r="110" ht="20.25" customHeight="1" thickBot="1"/>
    <row r="111" spans="1:6" ht="31.5" customHeight="1" thickBot="1">
      <c r="A111" s="113" t="s">
        <v>50</v>
      </c>
      <c r="B111" s="113">
        <f>C111+D111+E111+F111</f>
        <v>136224.339</v>
      </c>
      <c r="C111" s="118">
        <f>C105+C100+C95+C90+C85+C80+C75+C70+C65+C60+C55+C50+C45+C40+C35+C30+C25+C20+C15+C10+C5</f>
        <v>50346.459</v>
      </c>
      <c r="D111" s="118">
        <f>D105+D100+D95+D90+D85+D80+D75+D70+D65+D60+D55+D50+D45+D40+D35+D30+D25+D20+D15+D10+D5</f>
        <v>1999.8870000000002</v>
      </c>
      <c r="E111" s="118">
        <f>E105+E100+E95+E90+E85+E80+E75+E70+E65+E60+E55+E50+E45+E40+E35+E30+E25+E20+E15+E10+E5</f>
        <v>36957.623999999996</v>
      </c>
      <c r="F111" s="118">
        <f>F105+F100+F95+F90+F85+F80+F75+F70+F65+F60+F55+F50+F45+F40+F35+F30+F25+F20+F15+F10+F5</f>
        <v>46920.369000000006</v>
      </c>
    </row>
    <row r="113" spans="2:6" ht="18">
      <c r="B113" s="33"/>
      <c r="C113" s="33"/>
      <c r="D113" s="33"/>
      <c r="E113" s="33"/>
      <c r="F113" s="33"/>
    </row>
  </sheetData>
  <sheetProtection/>
  <mergeCells count="2">
    <mergeCell ref="A1:F1"/>
    <mergeCell ref="A2:F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4"/>
  <sheetViews>
    <sheetView zoomScale="60" zoomScaleNormal="60" zoomScalePageLayoutView="0" workbookViewId="0" topLeftCell="A1">
      <pane xSplit="1" ySplit="4" topLeftCell="B7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16" sqref="B116:F116"/>
    </sheetView>
  </sheetViews>
  <sheetFormatPr defaultColWidth="9.00390625" defaultRowHeight="12.75"/>
  <cols>
    <col min="1" max="1" width="57.125" style="3" customWidth="1"/>
    <col min="2" max="6" width="25.25390625" style="3" customWidth="1"/>
    <col min="7" max="7" width="11.75390625" style="59" customWidth="1"/>
    <col min="8" max="8" width="27.00390625" style="59" customWidth="1"/>
    <col min="9" max="16384" width="9.125" style="59" customWidth="1"/>
  </cols>
  <sheetData>
    <row r="1" spans="1:6" ht="23.25">
      <c r="A1" s="185" t="s">
        <v>29</v>
      </c>
      <c r="B1" s="185"/>
      <c r="C1" s="185"/>
      <c r="D1" s="185"/>
      <c r="E1" s="185"/>
      <c r="F1" s="185"/>
    </row>
    <row r="2" spans="1:6" s="64" customFormat="1" ht="23.25">
      <c r="A2" s="186" t="s">
        <v>56</v>
      </c>
      <c r="B2" s="186"/>
      <c r="C2" s="186"/>
      <c r="D2" s="187"/>
      <c r="E2" s="187"/>
      <c r="F2" s="187"/>
    </row>
    <row r="3" ht="18.75" thickBot="1">
      <c r="F3" s="56" t="s">
        <v>28</v>
      </c>
    </row>
    <row r="4" spans="1:8" s="66" customFormat="1" ht="29.25" customHeight="1" thickBot="1">
      <c r="A4" s="38" t="s">
        <v>20</v>
      </c>
      <c r="B4" s="53"/>
      <c r="C4" s="42" t="s">
        <v>0</v>
      </c>
      <c r="D4" s="42" t="s">
        <v>1</v>
      </c>
      <c r="E4" s="42" t="s">
        <v>2</v>
      </c>
      <c r="F4" s="43" t="s">
        <v>3</v>
      </c>
      <c r="G4" s="7"/>
      <c r="H4" s="65"/>
    </row>
    <row r="5" spans="1:8" s="4" customFormat="1" ht="44.25" customHeight="1">
      <c r="A5" s="78" t="s">
        <v>35</v>
      </c>
      <c r="B5" s="28">
        <f>C5+D5+E5+F5</f>
        <v>66664.538</v>
      </c>
      <c r="C5" s="74">
        <f>C6+C7</f>
        <v>27130.548999999995</v>
      </c>
      <c r="D5" s="74">
        <f>D6+D7</f>
        <v>1293.095</v>
      </c>
      <c r="E5" s="74">
        <f>E6+E7</f>
        <v>16366.469000000003</v>
      </c>
      <c r="F5" s="75">
        <f>F6+F7</f>
        <v>21874.425</v>
      </c>
      <c r="G5" s="13"/>
      <c r="H5" s="23"/>
    </row>
    <row r="6" spans="1:8" s="4" customFormat="1" ht="25.5" customHeight="1">
      <c r="A6" s="100" t="s">
        <v>47</v>
      </c>
      <c r="B6" s="8">
        <f aca="true" t="shared" si="0" ref="B6:B53">C6+D6+E6+F6</f>
        <v>51097.744999999995</v>
      </c>
      <c r="C6" s="8">
        <v>27098.841999999997</v>
      </c>
      <c r="D6" s="8">
        <v>1291.805</v>
      </c>
      <c r="E6" s="8">
        <v>15314.404000000002</v>
      </c>
      <c r="F6" s="9">
        <v>7392.6939999999995</v>
      </c>
      <c r="G6" s="7"/>
      <c r="H6" s="25"/>
    </row>
    <row r="7" spans="1:8" s="4" customFormat="1" ht="19.5" customHeight="1">
      <c r="A7" s="79" t="s">
        <v>10</v>
      </c>
      <c r="B7" s="8">
        <f t="shared" si="0"/>
        <v>15566.793</v>
      </c>
      <c r="C7" s="17">
        <f>C8+C9</f>
        <v>31.707</v>
      </c>
      <c r="D7" s="17">
        <f>D8+D9</f>
        <v>1.29</v>
      </c>
      <c r="E7" s="17">
        <f>E8+E9</f>
        <v>1052.065</v>
      </c>
      <c r="F7" s="18">
        <f>F8+F9</f>
        <v>14481.731</v>
      </c>
      <c r="G7" s="7"/>
      <c r="H7" s="25"/>
    </row>
    <row r="8" spans="1:8" s="4" customFormat="1" ht="19.5" customHeight="1">
      <c r="A8" s="79" t="s">
        <v>11</v>
      </c>
      <c r="B8" s="8">
        <f t="shared" si="0"/>
        <v>4119.618</v>
      </c>
      <c r="C8" s="70">
        <v>10.952</v>
      </c>
      <c r="D8" s="70"/>
      <c r="E8" s="70">
        <f>154.781</f>
        <v>154.781</v>
      </c>
      <c r="F8" s="71">
        <f>3953.885</f>
        <v>3953.885</v>
      </c>
      <c r="G8" s="7"/>
      <c r="H8" s="25"/>
    </row>
    <row r="9" spans="1:8" s="4" customFormat="1" ht="21.75" customHeight="1">
      <c r="A9" s="79" t="s">
        <v>12</v>
      </c>
      <c r="B9" s="8">
        <f t="shared" si="0"/>
        <v>11447.175</v>
      </c>
      <c r="C9" s="70">
        <v>20.755</v>
      </c>
      <c r="D9" s="70">
        <v>1.29</v>
      </c>
      <c r="E9" s="70">
        <v>897.284</v>
      </c>
      <c r="F9" s="71">
        <v>10527.846</v>
      </c>
      <c r="G9" s="13"/>
      <c r="H9" s="35"/>
    </row>
    <row r="10" spans="1:8" s="4" customFormat="1" ht="21" customHeight="1">
      <c r="A10" s="80" t="s">
        <v>36</v>
      </c>
      <c r="B10" s="8">
        <f t="shared" si="0"/>
        <v>4749.290999999999</v>
      </c>
      <c r="C10" s="17">
        <f>C11+C12</f>
        <v>592.27</v>
      </c>
      <c r="D10" s="17"/>
      <c r="E10" s="17">
        <f>E11+E12</f>
        <v>1542.6</v>
      </c>
      <c r="F10" s="18">
        <f>F11+F12</f>
        <v>2614.421</v>
      </c>
      <c r="G10" s="13"/>
      <c r="H10" s="35"/>
    </row>
    <row r="11" spans="1:8" s="4" customFormat="1" ht="21.75" customHeight="1">
      <c r="A11" s="79" t="s">
        <v>13</v>
      </c>
      <c r="B11" s="8">
        <f t="shared" si="0"/>
        <v>2911.133</v>
      </c>
      <c r="C11" s="8">
        <v>522.09</v>
      </c>
      <c r="D11" s="8"/>
      <c r="E11" s="8">
        <v>1285.269</v>
      </c>
      <c r="F11" s="9">
        <v>1103.774</v>
      </c>
      <c r="G11" s="13"/>
      <c r="H11" s="35"/>
    </row>
    <row r="12" spans="1:8" s="4" customFormat="1" ht="21" customHeight="1">
      <c r="A12" s="79" t="s">
        <v>10</v>
      </c>
      <c r="B12" s="8">
        <f t="shared" si="0"/>
        <v>1838.158</v>
      </c>
      <c r="C12" s="17">
        <f>C13+C14</f>
        <v>70.18</v>
      </c>
      <c r="D12" s="8"/>
      <c r="E12" s="17">
        <f>E13+E14</f>
        <v>257.331</v>
      </c>
      <c r="F12" s="18">
        <f>F13+F14</f>
        <v>1510.647</v>
      </c>
      <c r="G12" s="13"/>
      <c r="H12" s="35"/>
    </row>
    <row r="13" spans="1:8" s="4" customFormat="1" ht="24" customHeight="1">
      <c r="A13" s="79" t="s">
        <v>11</v>
      </c>
      <c r="B13" s="8">
        <f t="shared" si="0"/>
        <v>1090.478</v>
      </c>
      <c r="C13" s="70"/>
      <c r="D13" s="70"/>
      <c r="E13" s="70">
        <v>54.322</v>
      </c>
      <c r="F13" s="71">
        <v>1036.156</v>
      </c>
      <c r="G13" s="13"/>
      <c r="H13" s="35"/>
    </row>
    <row r="14" spans="1:8" s="4" customFormat="1" ht="20.25" customHeight="1">
      <c r="A14" s="79" t="s">
        <v>12</v>
      </c>
      <c r="B14" s="8">
        <f t="shared" si="0"/>
        <v>747.68</v>
      </c>
      <c r="C14" s="70">
        <v>70.18</v>
      </c>
      <c r="D14" s="70"/>
      <c r="E14" s="70">
        <v>203.009</v>
      </c>
      <c r="F14" s="71">
        <v>474.491</v>
      </c>
      <c r="G14" s="13"/>
      <c r="H14" s="35"/>
    </row>
    <row r="15" spans="1:8" s="4" customFormat="1" ht="24.75" customHeight="1">
      <c r="A15" s="80" t="s">
        <v>6</v>
      </c>
      <c r="B15" s="8">
        <f t="shared" si="0"/>
        <v>973.311</v>
      </c>
      <c r="C15" s="17">
        <f>C16+C17</f>
        <v>973.311</v>
      </c>
      <c r="D15" s="8"/>
      <c r="E15" s="8"/>
      <c r="F15" s="9"/>
      <c r="G15" s="13"/>
      <c r="H15" s="35"/>
    </row>
    <row r="16" spans="1:8" s="4" customFormat="1" ht="25.5" customHeight="1">
      <c r="A16" s="79" t="s">
        <v>13</v>
      </c>
      <c r="B16" s="8">
        <f t="shared" si="0"/>
        <v>973.051</v>
      </c>
      <c r="C16" s="8">
        <v>973.051</v>
      </c>
      <c r="D16" s="8"/>
      <c r="E16" s="17"/>
      <c r="F16" s="18"/>
      <c r="G16" s="13"/>
      <c r="H16" s="35"/>
    </row>
    <row r="17" spans="1:8" s="4" customFormat="1" ht="20.25" customHeight="1">
      <c r="A17" s="79" t="s">
        <v>10</v>
      </c>
      <c r="B17" s="8">
        <f t="shared" si="0"/>
        <v>0.26</v>
      </c>
      <c r="C17" s="17">
        <f>C18+C19</f>
        <v>0.26</v>
      </c>
      <c r="D17" s="8"/>
      <c r="E17" s="17"/>
      <c r="F17" s="18"/>
      <c r="G17" s="13"/>
      <c r="H17" s="35"/>
    </row>
    <row r="18" spans="1:8" s="4" customFormat="1" ht="20.25" customHeight="1">
      <c r="A18" s="79" t="s">
        <v>11</v>
      </c>
      <c r="B18" s="8">
        <f t="shared" si="0"/>
        <v>0.26</v>
      </c>
      <c r="C18" s="70">
        <v>0.26</v>
      </c>
      <c r="D18" s="70"/>
      <c r="E18" s="70"/>
      <c r="F18" s="71"/>
      <c r="G18" s="7"/>
      <c r="H18" s="25"/>
    </row>
    <row r="19" spans="1:8" s="4" customFormat="1" ht="24.75" customHeight="1">
      <c r="A19" s="79" t="s">
        <v>12</v>
      </c>
      <c r="B19" s="8">
        <f t="shared" si="0"/>
        <v>0</v>
      </c>
      <c r="C19" s="70"/>
      <c r="D19" s="70"/>
      <c r="E19" s="70"/>
      <c r="F19" s="71"/>
      <c r="G19" s="7"/>
      <c r="H19" s="25"/>
    </row>
    <row r="20" spans="1:8" s="4" customFormat="1" ht="38.25" customHeight="1">
      <c r="A20" s="80" t="s">
        <v>37</v>
      </c>
      <c r="B20" s="8">
        <f t="shared" si="0"/>
        <v>2749.111</v>
      </c>
      <c r="C20" s="17">
        <f>C21+C22</f>
        <v>2400.625</v>
      </c>
      <c r="D20" s="17">
        <f>D21+D22</f>
        <v>170.556</v>
      </c>
      <c r="E20" s="17">
        <f>E21+E22</f>
        <v>94.18</v>
      </c>
      <c r="F20" s="18">
        <f>F21+F22</f>
        <v>83.75</v>
      </c>
      <c r="G20" s="7"/>
      <c r="H20" s="25"/>
    </row>
    <row r="21" spans="1:8" s="4" customFormat="1" ht="25.5" customHeight="1">
      <c r="A21" s="79" t="s">
        <v>13</v>
      </c>
      <c r="B21" s="8">
        <f t="shared" si="0"/>
        <v>2733.902</v>
      </c>
      <c r="C21" s="17">
        <v>2400.625</v>
      </c>
      <c r="D21" s="17">
        <v>170.556</v>
      </c>
      <c r="E21" s="17">
        <v>94.18</v>
      </c>
      <c r="F21" s="18">
        <v>68.541</v>
      </c>
      <c r="G21" s="7"/>
      <c r="H21" s="25"/>
    </row>
    <row r="22" spans="1:8" s="4" customFormat="1" ht="23.25" customHeight="1">
      <c r="A22" s="79" t="s">
        <v>10</v>
      </c>
      <c r="B22" s="8">
        <f t="shared" si="0"/>
        <v>15.209</v>
      </c>
      <c r="C22" s="17"/>
      <c r="D22" s="17"/>
      <c r="E22" s="17">
        <f>E23+E24</f>
        <v>0</v>
      </c>
      <c r="F22" s="18">
        <f>F23+F24</f>
        <v>15.209</v>
      </c>
      <c r="G22" s="7"/>
      <c r="H22" s="25"/>
    </row>
    <row r="23" spans="1:8" s="4" customFormat="1" ht="23.25" customHeight="1">
      <c r="A23" s="79" t="s">
        <v>11</v>
      </c>
      <c r="B23" s="8">
        <f t="shared" si="0"/>
        <v>15.209</v>
      </c>
      <c r="C23" s="11"/>
      <c r="D23" s="11"/>
      <c r="E23" s="11"/>
      <c r="F23" s="12">
        <v>15.209</v>
      </c>
      <c r="G23" s="7"/>
      <c r="H23" s="25"/>
    </row>
    <row r="24" spans="1:8" s="4" customFormat="1" ht="23.25" customHeight="1">
      <c r="A24" s="79" t="s">
        <v>12</v>
      </c>
      <c r="B24" s="8">
        <f t="shared" si="0"/>
        <v>0</v>
      </c>
      <c r="C24" s="11"/>
      <c r="D24" s="11"/>
      <c r="E24" s="11"/>
      <c r="F24" s="12"/>
      <c r="G24" s="7"/>
      <c r="H24" s="25"/>
    </row>
    <row r="25" spans="1:8" s="4" customFormat="1" ht="49.5" customHeight="1">
      <c r="A25" s="80" t="s">
        <v>7</v>
      </c>
      <c r="B25" s="8">
        <f t="shared" si="0"/>
        <v>11572.643</v>
      </c>
      <c r="C25" s="17">
        <f>C26+C27</f>
        <v>6824.596</v>
      </c>
      <c r="D25" s="72"/>
      <c r="E25" s="17">
        <f>E26+E27</f>
        <v>1673.241</v>
      </c>
      <c r="F25" s="18">
        <f>F26+F27</f>
        <v>3074.8060000000005</v>
      </c>
      <c r="G25" s="7"/>
      <c r="H25" s="35"/>
    </row>
    <row r="26" spans="1:8" s="4" customFormat="1" ht="24.75" customHeight="1">
      <c r="A26" s="79" t="s">
        <v>13</v>
      </c>
      <c r="B26" s="8">
        <f t="shared" si="0"/>
        <v>9379.030999999999</v>
      </c>
      <c r="C26" s="8">
        <v>6824.596</v>
      </c>
      <c r="D26" s="8"/>
      <c r="E26" s="17">
        <v>1624.773</v>
      </c>
      <c r="F26" s="18">
        <v>929.662</v>
      </c>
      <c r="G26" s="7"/>
      <c r="H26" s="35"/>
    </row>
    <row r="27" spans="1:8" s="4" customFormat="1" ht="25.5" customHeight="1">
      <c r="A27" s="79" t="s">
        <v>10</v>
      </c>
      <c r="B27" s="8">
        <f t="shared" si="0"/>
        <v>2193.612</v>
      </c>
      <c r="C27" s="8"/>
      <c r="D27" s="8"/>
      <c r="E27" s="17">
        <f>E28+E29</f>
        <v>48.468</v>
      </c>
      <c r="F27" s="18">
        <f>F28+F29</f>
        <v>2145.1440000000002</v>
      </c>
      <c r="G27" s="7"/>
      <c r="H27" s="35"/>
    </row>
    <row r="28" spans="1:8" s="4" customFormat="1" ht="24.75" customHeight="1">
      <c r="A28" s="79" t="s">
        <v>11</v>
      </c>
      <c r="B28" s="8">
        <f t="shared" si="0"/>
        <v>2164.87</v>
      </c>
      <c r="C28" s="70"/>
      <c r="D28" s="70"/>
      <c r="E28" s="70">
        <v>48.468</v>
      </c>
      <c r="F28" s="71">
        <f>2055.292+61.11</f>
        <v>2116.402</v>
      </c>
      <c r="G28" s="13"/>
      <c r="H28" s="23"/>
    </row>
    <row r="29" spans="1:8" s="4" customFormat="1" ht="24.75" customHeight="1">
      <c r="A29" s="79" t="s">
        <v>12</v>
      </c>
      <c r="B29" s="8">
        <f t="shared" si="0"/>
        <v>28.742</v>
      </c>
      <c r="C29" s="70"/>
      <c r="D29" s="70"/>
      <c r="E29" s="70"/>
      <c r="F29" s="71">
        <v>28.742</v>
      </c>
      <c r="G29" s="13"/>
      <c r="H29" s="23"/>
    </row>
    <row r="30" spans="1:8" s="4" customFormat="1" ht="24.75" customHeight="1">
      <c r="A30" s="80" t="s">
        <v>38</v>
      </c>
      <c r="B30" s="8">
        <f t="shared" si="0"/>
        <v>92.103</v>
      </c>
      <c r="C30" s="17"/>
      <c r="D30" s="17"/>
      <c r="E30" s="17">
        <f>E31+E32</f>
        <v>47.934</v>
      </c>
      <c r="F30" s="18">
        <f>F31+F32</f>
        <v>44.169</v>
      </c>
      <c r="G30" s="13"/>
      <c r="H30" s="23"/>
    </row>
    <row r="31" spans="1:8" s="4" customFormat="1" ht="24.75" customHeight="1">
      <c r="A31" s="79" t="s">
        <v>13</v>
      </c>
      <c r="B31" s="8">
        <f t="shared" si="0"/>
        <v>72.813</v>
      </c>
      <c r="C31" s="8"/>
      <c r="D31" s="8"/>
      <c r="E31" s="17">
        <v>47.934</v>
      </c>
      <c r="F31" s="18">
        <v>24.879</v>
      </c>
      <c r="G31" s="13"/>
      <c r="H31" s="23"/>
    </row>
    <row r="32" spans="1:8" s="4" customFormat="1" ht="24.75" customHeight="1">
      <c r="A32" s="79" t="s">
        <v>10</v>
      </c>
      <c r="B32" s="8">
        <f t="shared" si="0"/>
        <v>19.29</v>
      </c>
      <c r="C32" s="8"/>
      <c r="D32" s="8"/>
      <c r="E32" s="17">
        <f>E33+E34</f>
        <v>0</v>
      </c>
      <c r="F32" s="18">
        <f>F33+F34</f>
        <v>19.29</v>
      </c>
      <c r="G32" s="13"/>
      <c r="H32" s="23"/>
    </row>
    <row r="33" spans="1:8" s="4" customFormat="1" ht="24.75" customHeight="1">
      <c r="A33" s="79" t="s">
        <v>11</v>
      </c>
      <c r="B33" s="8">
        <f t="shared" si="0"/>
        <v>15.089</v>
      </c>
      <c r="C33" s="70"/>
      <c r="D33" s="70"/>
      <c r="E33" s="70"/>
      <c r="F33" s="71">
        <v>15.089</v>
      </c>
      <c r="G33" s="13"/>
      <c r="H33" s="23"/>
    </row>
    <row r="34" spans="1:8" s="4" customFormat="1" ht="24.75" customHeight="1">
      <c r="A34" s="79" t="s">
        <v>12</v>
      </c>
      <c r="B34" s="8">
        <f t="shared" si="0"/>
        <v>4.201</v>
      </c>
      <c r="C34" s="70"/>
      <c r="D34" s="70"/>
      <c r="E34" s="70"/>
      <c r="F34" s="71">
        <v>4.201</v>
      </c>
      <c r="G34" s="13"/>
      <c r="H34" s="23"/>
    </row>
    <row r="35" spans="1:8" s="4" customFormat="1" ht="33.75" customHeight="1">
      <c r="A35" s="39" t="s">
        <v>39</v>
      </c>
      <c r="B35" s="8">
        <f t="shared" si="0"/>
        <v>73.191</v>
      </c>
      <c r="C35" s="17">
        <f>C36+C37</f>
        <v>0</v>
      </c>
      <c r="D35" s="72"/>
      <c r="E35" s="17">
        <f>E36+E37</f>
        <v>0</v>
      </c>
      <c r="F35" s="18">
        <f>F36+F37</f>
        <v>73.191</v>
      </c>
      <c r="G35" s="13"/>
      <c r="H35" s="23"/>
    </row>
    <row r="36" spans="1:8" s="4" customFormat="1" ht="24.75" customHeight="1">
      <c r="A36" s="79" t="s">
        <v>13</v>
      </c>
      <c r="B36" s="8">
        <f t="shared" si="0"/>
        <v>56.057</v>
      </c>
      <c r="C36" s="8"/>
      <c r="D36" s="8"/>
      <c r="E36" s="8"/>
      <c r="F36" s="9">
        <v>56.057</v>
      </c>
      <c r="G36" s="13"/>
      <c r="H36" s="23"/>
    </row>
    <row r="37" spans="1:8" s="4" customFormat="1" ht="25.5" customHeight="1">
      <c r="A37" s="79" t="s">
        <v>10</v>
      </c>
      <c r="B37" s="8">
        <f t="shared" si="0"/>
        <v>17.134</v>
      </c>
      <c r="C37" s="17">
        <f>C38+C39</f>
        <v>0</v>
      </c>
      <c r="D37" s="8"/>
      <c r="E37" s="17"/>
      <c r="F37" s="18">
        <f>F38+F39</f>
        <v>17.134</v>
      </c>
      <c r="G37" s="13"/>
      <c r="H37" s="23"/>
    </row>
    <row r="38" spans="1:8" s="4" customFormat="1" ht="26.25" customHeight="1">
      <c r="A38" s="79" t="s">
        <v>11</v>
      </c>
      <c r="B38" s="8">
        <f t="shared" si="0"/>
        <v>0</v>
      </c>
      <c r="C38" s="72"/>
      <c r="D38" s="72"/>
      <c r="E38" s="72"/>
      <c r="F38" s="12"/>
      <c r="G38" s="13"/>
      <c r="H38" s="23"/>
    </row>
    <row r="39" spans="1:8" s="4" customFormat="1" ht="26.25" customHeight="1">
      <c r="A39" s="79" t="s">
        <v>12</v>
      </c>
      <c r="B39" s="8">
        <f t="shared" si="0"/>
        <v>17.134</v>
      </c>
      <c r="C39" s="72"/>
      <c r="D39" s="72"/>
      <c r="E39" s="72"/>
      <c r="F39" s="18">
        <v>17.134</v>
      </c>
      <c r="G39" s="13"/>
      <c r="H39" s="23"/>
    </row>
    <row r="40" spans="1:8" s="4" customFormat="1" ht="26.25" customHeight="1">
      <c r="A40" s="80" t="s">
        <v>24</v>
      </c>
      <c r="B40" s="8">
        <f t="shared" si="0"/>
        <v>0</v>
      </c>
      <c r="C40" s="72">
        <f>C41+C42</f>
        <v>0</v>
      </c>
      <c r="D40" s="72"/>
      <c r="E40" s="72">
        <f>E41+E42</f>
        <v>0</v>
      </c>
      <c r="F40" s="18"/>
      <c r="G40" s="13"/>
      <c r="H40" s="23"/>
    </row>
    <row r="41" spans="1:8" s="4" customFormat="1" ht="26.25" customHeight="1">
      <c r="A41" s="79" t="s">
        <v>13</v>
      </c>
      <c r="B41" s="8">
        <f t="shared" si="0"/>
        <v>0</v>
      </c>
      <c r="C41" s="8"/>
      <c r="D41" s="8"/>
      <c r="E41" s="8"/>
      <c r="F41" s="9"/>
      <c r="G41" s="13"/>
      <c r="H41" s="23"/>
    </row>
    <row r="42" spans="1:8" s="4" customFormat="1" ht="24.75" customHeight="1">
      <c r="A42" s="79" t="s">
        <v>10</v>
      </c>
      <c r="B42" s="8">
        <f t="shared" si="0"/>
        <v>0</v>
      </c>
      <c r="C42" s="8"/>
      <c r="D42" s="8"/>
      <c r="E42" s="17">
        <f>E43+E44</f>
        <v>0</v>
      </c>
      <c r="F42" s="18">
        <f>F43+F44</f>
        <v>0</v>
      </c>
      <c r="G42" s="7"/>
      <c r="H42" s="23"/>
    </row>
    <row r="43" spans="1:8" s="4" customFormat="1" ht="18" customHeight="1">
      <c r="A43" s="79" t="s">
        <v>11</v>
      </c>
      <c r="B43" s="8">
        <f t="shared" si="0"/>
        <v>0</v>
      </c>
      <c r="C43" s="72"/>
      <c r="D43" s="72"/>
      <c r="E43" s="72"/>
      <c r="F43" s="12"/>
      <c r="G43" s="7"/>
      <c r="H43" s="31"/>
    </row>
    <row r="44" spans="1:8" s="4" customFormat="1" ht="19.5" customHeight="1">
      <c r="A44" s="79" t="s">
        <v>12</v>
      </c>
      <c r="B44" s="8">
        <f t="shared" si="0"/>
        <v>0</v>
      </c>
      <c r="C44" s="72"/>
      <c r="D44" s="72"/>
      <c r="E44" s="72"/>
      <c r="F44" s="12"/>
      <c r="G44" s="7"/>
      <c r="H44" s="31"/>
    </row>
    <row r="45" spans="1:8" s="4" customFormat="1" ht="19.5" customHeight="1">
      <c r="A45" s="81" t="s">
        <v>26</v>
      </c>
      <c r="B45" s="8">
        <f t="shared" si="0"/>
        <v>522.21</v>
      </c>
      <c r="C45" s="10"/>
      <c r="D45" s="8"/>
      <c r="E45" s="17">
        <f>E46+E47</f>
        <v>423.224</v>
      </c>
      <c r="F45" s="18">
        <f>F46+F47</f>
        <v>98.986</v>
      </c>
      <c r="G45" s="7"/>
      <c r="H45" s="31"/>
    </row>
    <row r="46" spans="1:8" s="7" customFormat="1" ht="25.5" customHeight="1">
      <c r="A46" s="79" t="s">
        <v>13</v>
      </c>
      <c r="B46" s="8">
        <f t="shared" si="0"/>
        <v>522.21</v>
      </c>
      <c r="C46" s="8"/>
      <c r="D46" s="8"/>
      <c r="E46" s="17">
        <v>423.224</v>
      </c>
      <c r="F46" s="18">
        <v>98.986</v>
      </c>
      <c r="H46" s="25"/>
    </row>
    <row r="47" spans="1:6" ht="21.75" customHeight="1">
      <c r="A47" s="79" t="s">
        <v>10</v>
      </c>
      <c r="B47" s="8">
        <f t="shared" si="0"/>
        <v>0</v>
      </c>
      <c r="C47" s="8"/>
      <c r="D47" s="8"/>
      <c r="E47" s="17">
        <f>E48+E49</f>
        <v>0</v>
      </c>
      <c r="F47" s="18">
        <f>F48+F49</f>
        <v>0</v>
      </c>
    </row>
    <row r="48" spans="1:6" ht="20.25" customHeight="1">
      <c r="A48" s="79" t="s">
        <v>11</v>
      </c>
      <c r="B48" s="8">
        <f t="shared" si="0"/>
        <v>0</v>
      </c>
      <c r="C48" s="10"/>
      <c r="D48" s="8"/>
      <c r="E48" s="10"/>
      <c r="F48" s="14"/>
    </row>
    <row r="49" spans="1:8" s="63" customFormat="1" ht="23.25" customHeight="1">
      <c r="A49" s="79" t="s">
        <v>12</v>
      </c>
      <c r="B49" s="8">
        <f t="shared" si="0"/>
        <v>0</v>
      </c>
      <c r="C49" s="10"/>
      <c r="D49" s="8"/>
      <c r="E49" s="10"/>
      <c r="F49" s="14"/>
      <c r="G49" s="7"/>
      <c r="H49" s="60"/>
    </row>
    <row r="50" spans="1:8" s="63" customFormat="1" ht="23.25" customHeight="1">
      <c r="A50" s="81" t="s">
        <v>4</v>
      </c>
      <c r="B50" s="8">
        <f t="shared" si="0"/>
        <v>644.981</v>
      </c>
      <c r="C50" s="17">
        <f>C51+C52</f>
        <v>644.981</v>
      </c>
      <c r="D50" s="17">
        <f>D51+D52</f>
        <v>0</v>
      </c>
      <c r="E50" s="17">
        <f>E51+E52</f>
        <v>0</v>
      </c>
      <c r="F50" s="18">
        <f>F51+F52</f>
        <v>0</v>
      </c>
      <c r="G50" s="7"/>
      <c r="H50" s="61"/>
    </row>
    <row r="51" spans="1:8" s="63" customFormat="1" ht="23.25" customHeight="1">
      <c r="A51" s="79" t="s">
        <v>13</v>
      </c>
      <c r="B51" s="8">
        <f t="shared" si="0"/>
        <v>644.981</v>
      </c>
      <c r="C51" s="17">
        <v>644.981</v>
      </c>
      <c r="D51" s="8"/>
      <c r="E51" s="17"/>
      <c r="F51" s="18"/>
      <c r="G51" s="7"/>
      <c r="H51" s="62"/>
    </row>
    <row r="52" spans="1:6" ht="18.75">
      <c r="A52" s="79" t="s">
        <v>10</v>
      </c>
      <c r="B52" s="8">
        <f t="shared" si="0"/>
        <v>0</v>
      </c>
      <c r="C52" s="17">
        <f>C53+C54</f>
        <v>0</v>
      </c>
      <c r="D52" s="8"/>
      <c r="E52" s="17">
        <f>E53+E54</f>
        <v>0</v>
      </c>
      <c r="F52" s="18">
        <f>F53+F54</f>
        <v>0</v>
      </c>
    </row>
    <row r="53" spans="1:8" s="67" customFormat="1" ht="27.75" customHeight="1">
      <c r="A53" s="79" t="s">
        <v>11</v>
      </c>
      <c r="B53" s="8">
        <f t="shared" si="0"/>
        <v>0</v>
      </c>
      <c r="C53" s="70"/>
      <c r="D53" s="8"/>
      <c r="E53" s="8"/>
      <c r="F53" s="9"/>
      <c r="G53" s="7"/>
      <c r="H53" s="32"/>
    </row>
    <row r="54" spans="1:6" ht="18.75">
      <c r="A54" s="79" t="s">
        <v>12</v>
      </c>
      <c r="B54" s="8">
        <f aca="true" t="shared" si="1" ref="B54:B113">C54+D54+E54+F54</f>
        <v>0</v>
      </c>
      <c r="C54" s="70"/>
      <c r="D54" s="8"/>
      <c r="E54" s="8"/>
      <c r="F54" s="9"/>
    </row>
    <row r="55" spans="1:6" ht="72">
      <c r="A55" s="80" t="s">
        <v>40</v>
      </c>
      <c r="B55" s="8">
        <f t="shared" si="1"/>
        <v>1624.877</v>
      </c>
      <c r="C55" s="17">
        <f>C56+C57</f>
        <v>949.936</v>
      </c>
      <c r="D55" s="17">
        <f>D56+D57</f>
        <v>0</v>
      </c>
      <c r="E55" s="17">
        <f>E56+E57</f>
        <v>281.739</v>
      </c>
      <c r="F55" s="18">
        <f>F56+F57</f>
        <v>393.202</v>
      </c>
    </row>
    <row r="56" spans="1:6" ht="18.75">
      <c r="A56" s="79" t="s">
        <v>13</v>
      </c>
      <c r="B56" s="8">
        <f t="shared" si="1"/>
        <v>1339.7469999999998</v>
      </c>
      <c r="C56" s="17">
        <v>949.936</v>
      </c>
      <c r="D56" s="17"/>
      <c r="E56" s="17">
        <v>281.739</v>
      </c>
      <c r="F56" s="18">
        <v>108.072</v>
      </c>
    </row>
    <row r="57" spans="1:6" ht="18.75">
      <c r="A57" s="79" t="s">
        <v>10</v>
      </c>
      <c r="B57" s="8">
        <f t="shared" si="1"/>
        <v>285.13</v>
      </c>
      <c r="C57" s="17">
        <f>C58+C59</f>
        <v>0</v>
      </c>
      <c r="D57" s="17">
        <f>D58+D59</f>
        <v>0</v>
      </c>
      <c r="E57" s="17">
        <f>E58+E59</f>
        <v>0</v>
      </c>
      <c r="F57" s="18">
        <f>F58+F59</f>
        <v>285.13</v>
      </c>
    </row>
    <row r="58" spans="1:6" ht="18.75">
      <c r="A58" s="79" t="s">
        <v>11</v>
      </c>
      <c r="B58" s="8">
        <f t="shared" si="1"/>
        <v>260.092</v>
      </c>
      <c r="C58" s="70"/>
      <c r="D58" s="8"/>
      <c r="E58" s="8"/>
      <c r="F58" s="9">
        <v>260.092</v>
      </c>
    </row>
    <row r="59" spans="1:6" ht="18.75">
      <c r="A59" s="79" t="s">
        <v>12</v>
      </c>
      <c r="B59" s="8">
        <f t="shared" si="1"/>
        <v>25.038</v>
      </c>
      <c r="C59" s="70"/>
      <c r="D59" s="8"/>
      <c r="E59" s="8"/>
      <c r="F59" s="9">
        <v>25.038</v>
      </c>
    </row>
    <row r="60" spans="1:6" ht="18">
      <c r="A60" s="80" t="s">
        <v>25</v>
      </c>
      <c r="B60" s="8">
        <f t="shared" si="1"/>
        <v>2004.378</v>
      </c>
      <c r="C60" s="17">
        <f>C61+C62</f>
        <v>1998.326</v>
      </c>
      <c r="D60" s="17">
        <f>D61+D62</f>
        <v>0</v>
      </c>
      <c r="E60" s="17">
        <f>E61+E62</f>
        <v>0</v>
      </c>
      <c r="F60" s="18">
        <f>F61+F62</f>
        <v>6.052</v>
      </c>
    </row>
    <row r="61" spans="1:6" ht="18.75">
      <c r="A61" s="79" t="s">
        <v>13</v>
      </c>
      <c r="B61" s="8">
        <f t="shared" si="1"/>
        <v>2004.378</v>
      </c>
      <c r="C61" s="82">
        <v>1998.326</v>
      </c>
      <c r="D61" s="82"/>
      <c r="E61" s="82"/>
      <c r="F61" s="83">
        <v>6.052</v>
      </c>
    </row>
    <row r="62" spans="1:6" ht="18.75">
      <c r="A62" s="79" t="s">
        <v>10</v>
      </c>
      <c r="B62" s="8">
        <f t="shared" si="1"/>
        <v>0</v>
      </c>
      <c r="C62" s="17">
        <f>C63+C64</f>
        <v>0</v>
      </c>
      <c r="D62" s="8"/>
      <c r="E62" s="17">
        <f>E63+E64</f>
        <v>0</v>
      </c>
      <c r="F62" s="18">
        <f>F63+F64</f>
        <v>0</v>
      </c>
    </row>
    <row r="63" spans="1:6" ht="18.75">
      <c r="A63" s="79" t="s">
        <v>11</v>
      </c>
      <c r="B63" s="8">
        <f t="shared" si="1"/>
        <v>0</v>
      </c>
      <c r="C63" s="70"/>
      <c r="D63" s="8"/>
      <c r="E63" s="8"/>
      <c r="F63" s="9"/>
    </row>
    <row r="64" spans="1:6" ht="18.75">
      <c r="A64" s="79" t="s">
        <v>12</v>
      </c>
      <c r="B64" s="8">
        <f t="shared" si="1"/>
        <v>0</v>
      </c>
      <c r="C64" s="70"/>
      <c r="D64" s="8"/>
      <c r="E64" s="8"/>
      <c r="F64" s="9"/>
    </row>
    <row r="65" spans="1:6" ht="23.25" customHeight="1">
      <c r="A65" s="80" t="s">
        <v>41</v>
      </c>
      <c r="B65" s="8">
        <f t="shared" si="1"/>
        <v>15.77</v>
      </c>
      <c r="C65" s="8">
        <f>C66+C67</f>
        <v>0</v>
      </c>
      <c r="D65" s="8"/>
      <c r="E65" s="8">
        <f>E66+E67</f>
        <v>15.77</v>
      </c>
      <c r="F65" s="9">
        <f>F66+F67</f>
        <v>0</v>
      </c>
    </row>
    <row r="66" spans="1:6" ht="18.75">
      <c r="A66" s="79" t="s">
        <v>13</v>
      </c>
      <c r="B66" s="8">
        <f t="shared" si="1"/>
        <v>15.77</v>
      </c>
      <c r="C66" s="82"/>
      <c r="D66" s="82"/>
      <c r="E66" s="82">
        <v>15.77</v>
      </c>
      <c r="F66" s="83"/>
    </row>
    <row r="67" spans="1:6" ht="18.75">
      <c r="A67" s="79" t="s">
        <v>10</v>
      </c>
      <c r="B67" s="8">
        <f t="shared" si="1"/>
        <v>0</v>
      </c>
      <c r="C67" s="70"/>
      <c r="D67" s="8"/>
      <c r="E67" s="8">
        <f>E69+E68</f>
        <v>0</v>
      </c>
      <c r="F67" s="9">
        <f>F69+F68</f>
        <v>0</v>
      </c>
    </row>
    <row r="68" spans="1:6" ht="18.75">
      <c r="A68" s="79" t="s">
        <v>11</v>
      </c>
      <c r="B68" s="8">
        <f t="shared" si="1"/>
        <v>0</v>
      </c>
      <c r="C68" s="70"/>
      <c r="D68" s="8"/>
      <c r="E68" s="10"/>
      <c r="F68" s="14"/>
    </row>
    <row r="69" spans="1:6" ht="18.75">
      <c r="A69" s="79" t="s">
        <v>12</v>
      </c>
      <c r="B69" s="8">
        <f t="shared" si="1"/>
        <v>0</v>
      </c>
      <c r="C69" s="70"/>
      <c r="D69" s="8"/>
      <c r="E69" s="10"/>
      <c r="F69" s="14"/>
    </row>
    <row r="70" spans="1:6" ht="36">
      <c r="A70" s="80" t="s">
        <v>23</v>
      </c>
      <c r="B70" s="8">
        <f t="shared" si="1"/>
        <v>73.205</v>
      </c>
      <c r="C70" s="70"/>
      <c r="D70" s="8"/>
      <c r="E70" s="8">
        <f>E71+E72</f>
        <v>0</v>
      </c>
      <c r="F70" s="9">
        <f>F71+F72</f>
        <v>73.205</v>
      </c>
    </row>
    <row r="71" spans="1:6" ht="18.75">
      <c r="A71" s="79" t="s">
        <v>13</v>
      </c>
      <c r="B71" s="8">
        <f t="shared" si="1"/>
        <v>6.625</v>
      </c>
      <c r="C71" s="70"/>
      <c r="D71" s="8"/>
      <c r="E71" s="8"/>
      <c r="F71" s="84">
        <v>6.625</v>
      </c>
    </row>
    <row r="72" spans="1:6" ht="18.75">
      <c r="A72" s="79" t="s">
        <v>10</v>
      </c>
      <c r="B72" s="8">
        <f t="shared" si="1"/>
        <v>66.58</v>
      </c>
      <c r="C72" s="70"/>
      <c r="D72" s="8"/>
      <c r="E72" s="8">
        <f>E74+E73</f>
        <v>0</v>
      </c>
      <c r="F72" s="9">
        <f>F73+F74</f>
        <v>66.58</v>
      </c>
    </row>
    <row r="73" spans="1:6" ht="18.75">
      <c r="A73" s="79" t="s">
        <v>11</v>
      </c>
      <c r="B73" s="8">
        <f t="shared" si="1"/>
        <v>66.58</v>
      </c>
      <c r="C73" s="70"/>
      <c r="D73" s="8"/>
      <c r="E73" s="10"/>
      <c r="F73" s="14">
        <v>66.58</v>
      </c>
    </row>
    <row r="74" spans="1:6" ht="18.75">
      <c r="A74" s="79" t="s">
        <v>12</v>
      </c>
      <c r="B74" s="8">
        <f t="shared" si="1"/>
        <v>0</v>
      </c>
      <c r="C74" s="70"/>
      <c r="D74" s="8"/>
      <c r="E74" s="10"/>
      <c r="F74" s="14"/>
    </row>
    <row r="75" spans="1:6" ht="36">
      <c r="A75" s="80" t="s">
        <v>42</v>
      </c>
      <c r="B75" s="8">
        <f t="shared" si="1"/>
        <v>226.618</v>
      </c>
      <c r="C75" s="70"/>
      <c r="D75" s="8"/>
      <c r="E75" s="8">
        <f>E76+E77</f>
        <v>11.067</v>
      </c>
      <c r="F75" s="9">
        <f>F76+F77</f>
        <v>215.551</v>
      </c>
    </row>
    <row r="76" spans="1:6" ht="18.75">
      <c r="A76" s="79" t="s">
        <v>13</v>
      </c>
      <c r="B76" s="8">
        <f t="shared" si="1"/>
        <v>71.612</v>
      </c>
      <c r="C76" s="70"/>
      <c r="D76" s="8"/>
      <c r="E76" s="17">
        <v>11.067</v>
      </c>
      <c r="F76" s="18">
        <v>60.545</v>
      </c>
    </row>
    <row r="77" spans="1:6" ht="18.75">
      <c r="A77" s="79" t="s">
        <v>10</v>
      </c>
      <c r="B77" s="8">
        <f t="shared" si="1"/>
        <v>155.006</v>
      </c>
      <c r="C77" s="70"/>
      <c r="D77" s="8"/>
      <c r="E77" s="8">
        <f>E79+E78</f>
        <v>0</v>
      </c>
      <c r="F77" s="9">
        <f>F79+F78</f>
        <v>155.006</v>
      </c>
    </row>
    <row r="78" spans="1:6" ht="18.75">
      <c r="A78" s="79" t="s">
        <v>11</v>
      </c>
      <c r="B78" s="8">
        <f t="shared" si="1"/>
        <v>0</v>
      </c>
      <c r="C78" s="70"/>
      <c r="D78" s="8"/>
      <c r="E78" s="8"/>
      <c r="F78" s="9"/>
    </row>
    <row r="79" spans="1:6" ht="18.75">
      <c r="A79" s="79" t="s">
        <v>12</v>
      </c>
      <c r="B79" s="8">
        <f t="shared" si="1"/>
        <v>155.006</v>
      </c>
      <c r="C79" s="70"/>
      <c r="D79" s="8"/>
      <c r="E79" s="8"/>
      <c r="F79" s="9">
        <v>155.006</v>
      </c>
    </row>
    <row r="80" spans="1:6" ht="18">
      <c r="A80" s="80" t="s">
        <v>21</v>
      </c>
      <c r="B80" s="8">
        <f t="shared" si="1"/>
        <v>253.481</v>
      </c>
      <c r="C80" s="8">
        <f>C81+C82</f>
        <v>0</v>
      </c>
      <c r="D80" s="8"/>
      <c r="E80" s="8">
        <f>E81+E82</f>
        <v>253.481</v>
      </c>
      <c r="F80" s="9">
        <f>F81+F82</f>
        <v>0</v>
      </c>
    </row>
    <row r="81" spans="1:6" ht="18.75">
      <c r="A81" s="79" t="s">
        <v>13</v>
      </c>
      <c r="B81" s="8">
        <f t="shared" si="1"/>
        <v>253.481</v>
      </c>
      <c r="C81" s="82"/>
      <c r="D81" s="82"/>
      <c r="E81" s="82">
        <v>253.481</v>
      </c>
      <c r="F81" s="83"/>
    </row>
    <row r="82" spans="1:6" ht="18.75">
      <c r="A82" s="79" t="s">
        <v>10</v>
      </c>
      <c r="B82" s="8">
        <f t="shared" si="1"/>
        <v>0</v>
      </c>
      <c r="C82" s="70"/>
      <c r="D82" s="8"/>
      <c r="E82" s="8">
        <f>E84+E83</f>
        <v>0</v>
      </c>
      <c r="F82" s="9">
        <f>F84+F83</f>
        <v>0</v>
      </c>
    </row>
    <row r="83" spans="1:6" ht="18.75">
      <c r="A83" s="79" t="s">
        <v>11</v>
      </c>
      <c r="B83" s="8">
        <f t="shared" si="1"/>
        <v>0</v>
      </c>
      <c r="C83" s="70"/>
      <c r="D83" s="8"/>
      <c r="E83" s="10"/>
      <c r="F83" s="14"/>
    </row>
    <row r="84" spans="1:6" ht="18.75">
      <c r="A84" s="79" t="s">
        <v>12</v>
      </c>
      <c r="B84" s="8">
        <f t="shared" si="1"/>
        <v>0</v>
      </c>
      <c r="C84" s="70"/>
      <c r="D84" s="8"/>
      <c r="E84" s="10"/>
      <c r="F84" s="14"/>
    </row>
    <row r="85" spans="1:6" ht="36">
      <c r="A85" s="80" t="s">
        <v>22</v>
      </c>
      <c r="B85" s="8">
        <f t="shared" si="1"/>
        <v>431.574</v>
      </c>
      <c r="C85" s="70"/>
      <c r="D85" s="8"/>
      <c r="E85" s="8">
        <f>E86+E87</f>
        <v>431.574</v>
      </c>
      <c r="F85" s="9">
        <f>F86+F87</f>
        <v>0</v>
      </c>
    </row>
    <row r="86" spans="1:6" ht="18.75">
      <c r="A86" s="79" t="s">
        <v>13</v>
      </c>
      <c r="B86" s="8">
        <f t="shared" si="1"/>
        <v>431.574</v>
      </c>
      <c r="C86" s="70"/>
      <c r="D86" s="8"/>
      <c r="E86" s="8">
        <v>431.574</v>
      </c>
      <c r="F86" s="84"/>
    </row>
    <row r="87" spans="1:6" ht="18.75">
      <c r="A87" s="79" t="s">
        <v>10</v>
      </c>
      <c r="B87" s="8">
        <f t="shared" si="1"/>
        <v>0</v>
      </c>
      <c r="C87" s="70"/>
      <c r="D87" s="8"/>
      <c r="E87" s="8">
        <f>E89+E88</f>
        <v>0</v>
      </c>
      <c r="F87" s="9">
        <f>F89+F88</f>
        <v>0</v>
      </c>
    </row>
    <row r="88" spans="1:6" ht="18.75">
      <c r="A88" s="79" t="s">
        <v>11</v>
      </c>
      <c r="B88" s="8">
        <f t="shared" si="1"/>
        <v>0</v>
      </c>
      <c r="C88" s="70"/>
      <c r="D88" s="8"/>
      <c r="E88" s="10"/>
      <c r="F88" s="14"/>
    </row>
    <row r="89" spans="1:6" ht="18.75">
      <c r="A89" s="79" t="s">
        <v>12</v>
      </c>
      <c r="B89" s="8">
        <f t="shared" si="1"/>
        <v>0</v>
      </c>
      <c r="C89" s="70"/>
      <c r="D89" s="8"/>
      <c r="E89" s="10"/>
      <c r="F89" s="14"/>
    </row>
    <row r="90" spans="1:6" ht="18">
      <c r="A90" s="80" t="s">
        <v>49</v>
      </c>
      <c r="B90" s="8">
        <f t="shared" si="1"/>
        <v>0</v>
      </c>
      <c r="C90" s="70"/>
      <c r="D90" s="8"/>
      <c r="E90" s="8">
        <f>E91+E92</f>
        <v>0</v>
      </c>
      <c r="F90" s="9">
        <f>F91+F92</f>
        <v>0</v>
      </c>
    </row>
    <row r="91" spans="1:6" ht="18.75">
      <c r="A91" s="79" t="s">
        <v>13</v>
      </c>
      <c r="B91" s="8">
        <f t="shared" si="1"/>
        <v>0</v>
      </c>
      <c r="C91" s="70"/>
      <c r="D91" s="8"/>
      <c r="E91" s="8"/>
      <c r="F91" s="84"/>
    </row>
    <row r="92" spans="1:6" ht="18.75">
      <c r="A92" s="79" t="s">
        <v>10</v>
      </c>
      <c r="B92" s="8">
        <f t="shared" si="1"/>
        <v>0</v>
      </c>
      <c r="C92" s="70"/>
      <c r="D92" s="8"/>
      <c r="E92" s="8">
        <f>E94+E93</f>
        <v>0</v>
      </c>
      <c r="F92" s="9">
        <f>F94+F93</f>
        <v>0</v>
      </c>
    </row>
    <row r="93" spans="1:6" ht="18.75">
      <c r="A93" s="79" t="s">
        <v>11</v>
      </c>
      <c r="B93" s="8">
        <f t="shared" si="1"/>
        <v>0</v>
      </c>
      <c r="C93" s="70"/>
      <c r="D93" s="8"/>
      <c r="E93" s="8"/>
      <c r="F93" s="9"/>
    </row>
    <row r="94" spans="1:6" ht="18.75">
      <c r="A94" s="79" t="s">
        <v>12</v>
      </c>
      <c r="B94" s="8">
        <f t="shared" si="1"/>
        <v>0</v>
      </c>
      <c r="C94" s="70"/>
      <c r="D94" s="8"/>
      <c r="E94" s="8"/>
      <c r="F94" s="9"/>
    </row>
    <row r="95" spans="1:6" ht="18">
      <c r="A95" s="80" t="s">
        <v>70</v>
      </c>
      <c r="B95" s="8">
        <f t="shared" si="1"/>
        <v>73.697</v>
      </c>
      <c r="C95" s="17"/>
      <c r="D95" s="8"/>
      <c r="E95" s="17">
        <f>E96+E97</f>
        <v>73.697</v>
      </c>
      <c r="F95" s="18">
        <f>F96+F97</f>
        <v>0</v>
      </c>
    </row>
    <row r="96" spans="1:6" ht="18.75">
      <c r="A96" s="79" t="s">
        <v>13</v>
      </c>
      <c r="B96" s="8">
        <f t="shared" si="1"/>
        <v>39.276</v>
      </c>
      <c r="C96" s="8"/>
      <c r="D96" s="8"/>
      <c r="E96" s="17">
        <v>39.276</v>
      </c>
      <c r="F96" s="18"/>
    </row>
    <row r="97" spans="1:6" ht="18.75">
      <c r="A97" s="79" t="s">
        <v>10</v>
      </c>
      <c r="B97" s="8">
        <f t="shared" si="1"/>
        <v>34.421</v>
      </c>
      <c r="C97" s="8"/>
      <c r="D97" s="8"/>
      <c r="E97" s="17">
        <f>E98+E99</f>
        <v>34.421</v>
      </c>
      <c r="F97" s="18">
        <f>F98+F99</f>
        <v>0</v>
      </c>
    </row>
    <row r="98" spans="1:6" ht="18.75">
      <c r="A98" s="79" t="s">
        <v>11</v>
      </c>
      <c r="B98" s="8">
        <f t="shared" si="1"/>
        <v>34.421</v>
      </c>
      <c r="C98" s="8"/>
      <c r="D98" s="8"/>
      <c r="E98" s="70">
        <v>34.421</v>
      </c>
      <c r="F98" s="71"/>
    </row>
    <row r="99" spans="1:8" ht="31.5" customHeight="1">
      <c r="A99" s="79" t="s">
        <v>12</v>
      </c>
      <c r="B99" s="8">
        <f t="shared" si="1"/>
        <v>0</v>
      </c>
      <c r="C99" s="8"/>
      <c r="D99" s="8"/>
      <c r="E99" s="70"/>
      <c r="F99" s="71"/>
      <c r="G99" s="3"/>
      <c r="H99" s="3"/>
    </row>
    <row r="100" spans="1:6" ht="18">
      <c r="A100" s="80" t="s">
        <v>8</v>
      </c>
      <c r="B100" s="8">
        <f t="shared" si="1"/>
        <v>1368.6219999999998</v>
      </c>
      <c r="C100" s="17"/>
      <c r="D100" s="8"/>
      <c r="E100" s="17">
        <f>E101+E102</f>
        <v>724.4680000000001</v>
      </c>
      <c r="F100" s="18">
        <f>F101+F102</f>
        <v>644.1539999999999</v>
      </c>
    </row>
    <row r="101" spans="1:6" ht="18.75">
      <c r="A101" s="79" t="s">
        <v>13</v>
      </c>
      <c r="B101" s="8">
        <f t="shared" si="1"/>
        <v>713.109</v>
      </c>
      <c r="C101" s="8"/>
      <c r="D101" s="8"/>
      <c r="E101" s="17">
        <v>584.844</v>
      </c>
      <c r="F101" s="18">
        <v>128.265</v>
      </c>
    </row>
    <row r="102" spans="1:6" ht="18.75">
      <c r="A102" s="79" t="s">
        <v>10</v>
      </c>
      <c r="B102" s="8">
        <f t="shared" si="1"/>
        <v>655.5129999999999</v>
      </c>
      <c r="C102" s="8"/>
      <c r="D102" s="8"/>
      <c r="E102" s="17">
        <f>E103+E104</f>
        <v>139.624</v>
      </c>
      <c r="F102" s="18">
        <f>F103+F104</f>
        <v>515.8889999999999</v>
      </c>
    </row>
    <row r="103" spans="1:6" ht="18.75">
      <c r="A103" s="79" t="s">
        <v>11</v>
      </c>
      <c r="B103" s="8">
        <f t="shared" si="1"/>
        <v>557.0809999999999</v>
      </c>
      <c r="C103" s="8"/>
      <c r="D103" s="8"/>
      <c r="E103" s="70">
        <f>132.17+4.88</f>
        <v>137.04999999999998</v>
      </c>
      <c r="F103" s="71">
        <f>381.311+38.72</f>
        <v>420.03099999999995</v>
      </c>
    </row>
    <row r="104" spans="1:6" ht="18.75">
      <c r="A104" s="79" t="s">
        <v>12</v>
      </c>
      <c r="B104" s="8">
        <f t="shared" si="1"/>
        <v>98.432</v>
      </c>
      <c r="C104" s="8"/>
      <c r="D104" s="8"/>
      <c r="E104" s="70">
        <v>2.574</v>
      </c>
      <c r="F104" s="71">
        <v>95.858</v>
      </c>
    </row>
    <row r="105" spans="1:6" ht="18">
      <c r="A105" s="80" t="s">
        <v>5</v>
      </c>
      <c r="B105" s="8">
        <f t="shared" si="1"/>
        <v>2946.553</v>
      </c>
      <c r="C105" s="17">
        <f>C106+C107</f>
        <v>324.967</v>
      </c>
      <c r="D105" s="8"/>
      <c r="E105" s="17">
        <f>E106+E107</f>
        <v>1830.802</v>
      </c>
      <c r="F105" s="18">
        <f>F106+F107</f>
        <v>790.784</v>
      </c>
    </row>
    <row r="106" spans="1:6" ht="18.75">
      <c r="A106" s="79" t="s">
        <v>13</v>
      </c>
      <c r="B106" s="8">
        <f t="shared" si="1"/>
        <v>2037.6059999999998</v>
      </c>
      <c r="C106" s="17">
        <v>324.967</v>
      </c>
      <c r="D106" s="8"/>
      <c r="E106" s="17">
        <v>1449.302</v>
      </c>
      <c r="F106" s="18">
        <v>263.337</v>
      </c>
    </row>
    <row r="107" spans="1:6" ht="18.75">
      <c r="A107" s="79" t="s">
        <v>10</v>
      </c>
      <c r="B107" s="8">
        <f t="shared" si="1"/>
        <v>908.947</v>
      </c>
      <c r="C107" s="8"/>
      <c r="D107" s="8"/>
      <c r="E107" s="17">
        <f>E108+E109</f>
        <v>381.5</v>
      </c>
      <c r="F107" s="18">
        <f>F108+F109</f>
        <v>527.447</v>
      </c>
    </row>
    <row r="108" spans="1:6" ht="18.75">
      <c r="A108" s="79" t="s">
        <v>11</v>
      </c>
      <c r="B108" s="8">
        <f t="shared" si="1"/>
        <v>902.659</v>
      </c>
      <c r="C108" s="70"/>
      <c r="D108" s="70"/>
      <c r="E108" s="70">
        <f>351.51+23.702</f>
        <v>375.212</v>
      </c>
      <c r="F108" s="71">
        <v>527.447</v>
      </c>
    </row>
    <row r="109" spans="1:6" ht="18.75">
      <c r="A109" s="79" t="s">
        <v>12</v>
      </c>
      <c r="B109" s="8">
        <f t="shared" si="1"/>
        <v>6.288</v>
      </c>
      <c r="C109" s="70"/>
      <c r="D109" s="70"/>
      <c r="E109" s="70">
        <v>6.288</v>
      </c>
      <c r="F109" s="71"/>
    </row>
    <row r="110" spans="1:6" ht="36">
      <c r="A110" s="80" t="s">
        <v>43</v>
      </c>
      <c r="B110" s="8">
        <f t="shared" si="1"/>
        <v>5066.655</v>
      </c>
      <c r="C110" s="17"/>
      <c r="D110" s="8"/>
      <c r="E110" s="17">
        <f>E111+E112</f>
        <v>1043.048</v>
      </c>
      <c r="F110" s="18">
        <f>F111+F112</f>
        <v>4023.607</v>
      </c>
    </row>
    <row r="111" spans="1:6" ht="18.75">
      <c r="A111" s="79" t="s">
        <v>13</v>
      </c>
      <c r="B111" s="8">
        <f t="shared" si="1"/>
        <v>2264.2039999999997</v>
      </c>
      <c r="C111" s="8"/>
      <c r="D111" s="8"/>
      <c r="E111" s="17">
        <v>1011.826</v>
      </c>
      <c r="F111" s="18">
        <v>1252.378</v>
      </c>
    </row>
    <row r="112" spans="1:6" ht="18.75">
      <c r="A112" s="79" t="s">
        <v>10</v>
      </c>
      <c r="B112" s="8">
        <f t="shared" si="1"/>
        <v>2802.4510000000005</v>
      </c>
      <c r="C112" s="8"/>
      <c r="D112" s="8"/>
      <c r="E112" s="17">
        <f>E113+E114</f>
        <v>31.222</v>
      </c>
      <c r="F112" s="18">
        <f>F113+F114</f>
        <v>2771.2290000000003</v>
      </c>
    </row>
    <row r="113" spans="1:6" ht="18.75">
      <c r="A113" s="79" t="s">
        <v>11</v>
      </c>
      <c r="B113" s="8">
        <f t="shared" si="1"/>
        <v>269.038</v>
      </c>
      <c r="C113" s="10"/>
      <c r="D113" s="8"/>
      <c r="E113" s="70">
        <v>13.252</v>
      </c>
      <c r="F113" s="71">
        <v>255.786</v>
      </c>
    </row>
    <row r="114" spans="1:6" ht="19.5" thickBot="1">
      <c r="A114" s="85" t="s">
        <v>12</v>
      </c>
      <c r="B114" s="19">
        <f>C114+D114+E114+F114</f>
        <v>2533.413</v>
      </c>
      <c r="C114" s="21"/>
      <c r="D114" s="19"/>
      <c r="E114" s="86">
        <v>17.97</v>
      </c>
      <c r="F114" s="87">
        <v>2515.443</v>
      </c>
    </row>
    <row r="115" spans="1:6" ht="18.75" thickBot="1">
      <c r="A115" s="164"/>
      <c r="B115" s="165"/>
      <c r="C115" s="165"/>
      <c r="D115" s="165"/>
      <c r="E115" s="165"/>
      <c r="F115" s="165"/>
    </row>
    <row r="116" spans="1:6" ht="27.75" customHeight="1" thickBot="1">
      <c r="A116" s="26" t="s">
        <v>50</v>
      </c>
      <c r="B116" s="113">
        <f>C116+D116+E116+F116</f>
        <v>102126.809</v>
      </c>
      <c r="C116" s="118">
        <f>C110+C105+C100+C95+C90+C85+C80+C75+C70+C65+C60+C55+C50+C45+C40+C35+C30+C25+C20+C15+C10+C5</f>
        <v>41839.560999999994</v>
      </c>
      <c r="D116" s="118">
        <f>D110+D105+D100+D95+D90+D85+D80+D75+D70+D65+D60+D55+D50+D45+D40+D35+D30+D25+D20+D15+D10+D5</f>
        <v>1463.651</v>
      </c>
      <c r="E116" s="118">
        <f>E110+E105+E100+E95+E90+E85+E80+E75+E70+E65+E60+E55+E50+E45+E40+E35+E30+E25+E20+E15+E10+E5</f>
        <v>24813.294</v>
      </c>
      <c r="F116" s="118">
        <f>F110+F105+F100+F95+F90+F85+F80+F75+F70+F65+F60+F55+F50+F45+F40+F35+F30+F25+F20+F15+F10+F5</f>
        <v>34010.303</v>
      </c>
    </row>
    <row r="118" spans="2:6" ht="20.25">
      <c r="B118" s="108"/>
      <c r="C118" s="108"/>
      <c r="D118" s="108"/>
      <c r="E118" s="108"/>
      <c r="F118" s="108"/>
    </row>
    <row r="120" ht="12.75">
      <c r="E120" s="162"/>
    </row>
    <row r="124" spans="5:6" ht="20.25">
      <c r="E124" s="158"/>
      <c r="F124" s="158"/>
    </row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3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zoomScale="60" zoomScaleNormal="60" zoomScalePageLayoutView="0" workbookViewId="0" topLeftCell="A1">
      <pane xSplit="1" ySplit="4" topLeftCell="B70" activePane="bottomRight" state="frozen"/>
      <selection pane="topLeft" activeCell="E77" sqref="E77"/>
      <selection pane="topRight" activeCell="E77" sqref="E77"/>
      <selection pane="bottomLeft" activeCell="E77" sqref="E77"/>
      <selection pane="bottomRight" activeCell="B116" sqref="B116:F116"/>
    </sheetView>
  </sheetViews>
  <sheetFormatPr defaultColWidth="9.00390625" defaultRowHeight="12.75"/>
  <cols>
    <col min="1" max="1" width="59.125" style="3" customWidth="1"/>
    <col min="2" max="6" width="25.25390625" style="3" customWidth="1"/>
    <col min="7" max="7" width="11.75390625" style="59" customWidth="1"/>
    <col min="8" max="16384" width="9.125" style="59" customWidth="1"/>
  </cols>
  <sheetData>
    <row r="1" spans="1:6" ht="23.25">
      <c r="A1" s="185" t="s">
        <v>29</v>
      </c>
      <c r="B1" s="185"/>
      <c r="C1" s="185"/>
      <c r="D1" s="185"/>
      <c r="E1" s="185"/>
      <c r="F1" s="185"/>
    </row>
    <row r="2" spans="1:6" s="64" customFormat="1" ht="23.25">
      <c r="A2" s="186" t="s">
        <v>57</v>
      </c>
      <c r="B2" s="186"/>
      <c r="C2" s="186"/>
      <c r="D2" s="187"/>
      <c r="E2" s="187"/>
      <c r="F2" s="187"/>
    </row>
    <row r="3" ht="18.75" thickBot="1">
      <c r="F3" s="56" t="s">
        <v>28</v>
      </c>
    </row>
    <row r="4" spans="1:7" s="66" customFormat="1" ht="29.25" customHeight="1" thickBot="1">
      <c r="A4" s="38" t="s">
        <v>9</v>
      </c>
      <c r="B4" s="53"/>
      <c r="C4" s="42" t="s">
        <v>0</v>
      </c>
      <c r="D4" s="42" t="s">
        <v>1</v>
      </c>
      <c r="E4" s="42" t="s">
        <v>2</v>
      </c>
      <c r="F4" s="43" t="s">
        <v>3</v>
      </c>
      <c r="G4" s="7"/>
    </row>
    <row r="5" spans="1:7" s="4" customFormat="1" ht="36.75" customHeight="1">
      <c r="A5" s="57" t="s">
        <v>35</v>
      </c>
      <c r="B5" s="44">
        <f aca="true" t="shared" si="0" ref="B5:B53">C5+D5+E5+F5</f>
        <v>71098.978</v>
      </c>
      <c r="C5" s="166">
        <f>C6+C7</f>
        <v>28928.15</v>
      </c>
      <c r="D5" s="166">
        <f>D6+D7</f>
        <v>1186.161</v>
      </c>
      <c r="E5" s="166">
        <f>E6+E7</f>
        <v>18031.71</v>
      </c>
      <c r="F5" s="167">
        <f>F6+F7</f>
        <v>22952.957</v>
      </c>
      <c r="G5" s="13"/>
    </row>
    <row r="6" spans="1:7" s="4" customFormat="1" ht="24.75" customHeight="1">
      <c r="A6" s="15" t="s">
        <v>13</v>
      </c>
      <c r="B6" s="5">
        <f t="shared" si="0"/>
        <v>55070.717</v>
      </c>
      <c r="C6" s="8">
        <f>28928.15-C7</f>
        <v>28902.023</v>
      </c>
      <c r="D6" s="8">
        <f>1186.161-D7</f>
        <v>1184.851</v>
      </c>
      <c r="E6" s="8">
        <f>18031.71-E7</f>
        <v>17052.321</v>
      </c>
      <c r="F6" s="9">
        <f>22952.957-F7</f>
        <v>7931.521999999999</v>
      </c>
      <c r="G6" s="7"/>
    </row>
    <row r="7" spans="1:7" s="4" customFormat="1" ht="24.75" customHeight="1">
      <c r="A7" s="15" t="s">
        <v>10</v>
      </c>
      <c r="B7" s="5">
        <f t="shared" si="0"/>
        <v>16028.260999999999</v>
      </c>
      <c r="C7" s="168">
        <f>C8+C9</f>
        <v>26.127000000000002</v>
      </c>
      <c r="D7" s="168">
        <f>D8+D9</f>
        <v>1.31</v>
      </c>
      <c r="E7" s="168">
        <f>E8+E9</f>
        <v>979.389</v>
      </c>
      <c r="F7" s="169">
        <f>F8+F9</f>
        <v>15021.435</v>
      </c>
      <c r="G7" s="13"/>
    </row>
    <row r="8" spans="1:7" s="4" customFormat="1" ht="24.75" customHeight="1">
      <c r="A8" s="15" t="s">
        <v>11</v>
      </c>
      <c r="B8" s="5">
        <f t="shared" si="0"/>
        <v>4305.932000000001</v>
      </c>
      <c r="C8" s="70">
        <v>7.731</v>
      </c>
      <c r="D8" s="70"/>
      <c r="E8" s="70">
        <v>170.289</v>
      </c>
      <c r="F8" s="71">
        <v>4127.912</v>
      </c>
      <c r="G8" s="13"/>
    </row>
    <row r="9" spans="1:7" s="4" customFormat="1" ht="24.75" customHeight="1">
      <c r="A9" s="15" t="s">
        <v>12</v>
      </c>
      <c r="B9" s="5">
        <f t="shared" si="0"/>
        <v>11722.329</v>
      </c>
      <c r="C9" s="70">
        <v>18.396</v>
      </c>
      <c r="D9" s="70">
        <v>1.31</v>
      </c>
      <c r="E9" s="70">
        <v>809.1</v>
      </c>
      <c r="F9" s="71">
        <v>10893.523</v>
      </c>
      <c r="G9" s="7"/>
    </row>
    <row r="10" spans="1:7" s="4" customFormat="1" ht="19.5" customHeight="1">
      <c r="A10" s="58" t="s">
        <v>36</v>
      </c>
      <c r="B10" s="5">
        <f t="shared" si="0"/>
        <v>4720.654</v>
      </c>
      <c r="C10" s="168">
        <f>C11+C12</f>
        <v>641.74</v>
      </c>
      <c r="D10" s="168"/>
      <c r="E10" s="168">
        <f>E11+E12</f>
        <v>1610.873</v>
      </c>
      <c r="F10" s="169">
        <f>F11+F12</f>
        <v>2468.041</v>
      </c>
      <c r="G10" s="7"/>
    </row>
    <row r="11" spans="1:7" s="4" customFormat="1" ht="18" customHeight="1">
      <c r="A11" s="15" t="s">
        <v>13</v>
      </c>
      <c r="B11" s="5">
        <f t="shared" si="0"/>
        <v>2860.2380000000003</v>
      </c>
      <c r="C11" s="8">
        <v>580.95</v>
      </c>
      <c r="D11" s="8"/>
      <c r="E11" s="8">
        <v>1340.948</v>
      </c>
      <c r="F11" s="9">
        <v>938.34</v>
      </c>
      <c r="G11" s="7"/>
    </row>
    <row r="12" spans="1:7" s="4" customFormat="1" ht="19.5" customHeight="1">
      <c r="A12" s="15" t="s">
        <v>10</v>
      </c>
      <c r="B12" s="5">
        <f t="shared" si="0"/>
        <v>1860.4160000000002</v>
      </c>
      <c r="C12" s="168">
        <f>C13+C14</f>
        <v>60.79</v>
      </c>
      <c r="D12" s="8"/>
      <c r="E12" s="168">
        <f>E13+E14</f>
        <v>269.925</v>
      </c>
      <c r="F12" s="169">
        <f>F13+F14</f>
        <v>1529.701</v>
      </c>
      <c r="G12" s="7"/>
    </row>
    <row r="13" spans="1:7" s="4" customFormat="1" ht="19.5" customHeight="1">
      <c r="A13" s="15" t="s">
        <v>11</v>
      </c>
      <c r="B13" s="5">
        <f t="shared" si="0"/>
        <v>1115.413</v>
      </c>
      <c r="C13" s="70"/>
      <c r="D13" s="70"/>
      <c r="E13" s="70">
        <v>58.642</v>
      </c>
      <c r="F13" s="71">
        <v>1056.771</v>
      </c>
      <c r="G13" s="7"/>
    </row>
    <row r="14" spans="1:7" s="4" customFormat="1" ht="26.25" customHeight="1">
      <c r="A14" s="15" t="s">
        <v>12</v>
      </c>
      <c r="B14" s="5">
        <f t="shared" si="0"/>
        <v>745.0029999999999</v>
      </c>
      <c r="C14" s="70">
        <v>60.79</v>
      </c>
      <c r="D14" s="70"/>
      <c r="E14" s="70">
        <v>211.283</v>
      </c>
      <c r="F14" s="71">
        <v>472.93</v>
      </c>
      <c r="G14" s="13"/>
    </row>
    <row r="15" spans="1:7" s="4" customFormat="1" ht="21.75" customHeight="1">
      <c r="A15" s="58" t="s">
        <v>6</v>
      </c>
      <c r="B15" s="5">
        <f t="shared" si="0"/>
        <v>955.34</v>
      </c>
      <c r="C15" s="168">
        <f>C16+C17</f>
        <v>955.34</v>
      </c>
      <c r="D15" s="8"/>
      <c r="E15" s="8"/>
      <c r="F15" s="9"/>
      <c r="G15" s="13"/>
    </row>
    <row r="16" spans="1:7" s="4" customFormat="1" ht="21" customHeight="1">
      <c r="A16" s="15" t="s">
        <v>13</v>
      </c>
      <c r="B16" s="5">
        <f t="shared" si="0"/>
        <v>955.09</v>
      </c>
      <c r="C16" s="8">
        <v>955.09</v>
      </c>
      <c r="D16" s="8"/>
      <c r="E16" s="168"/>
      <c r="F16" s="169"/>
      <c r="G16" s="13"/>
    </row>
    <row r="17" spans="1:7" s="4" customFormat="1" ht="21.75" customHeight="1">
      <c r="A17" s="15" t="s">
        <v>10</v>
      </c>
      <c r="B17" s="5">
        <f t="shared" si="0"/>
        <v>0.25</v>
      </c>
      <c r="C17" s="168">
        <f>C18+C19</f>
        <v>0.25</v>
      </c>
      <c r="D17" s="8"/>
      <c r="E17" s="168">
        <f>E18+E19</f>
        <v>0</v>
      </c>
      <c r="F17" s="169">
        <f>F18+F19</f>
        <v>0</v>
      </c>
      <c r="G17" s="13"/>
    </row>
    <row r="18" spans="1:7" s="4" customFormat="1" ht="21" customHeight="1">
      <c r="A18" s="15" t="s">
        <v>11</v>
      </c>
      <c r="B18" s="5">
        <f t="shared" si="0"/>
        <v>0.25</v>
      </c>
      <c r="C18" s="70">
        <v>0.25</v>
      </c>
      <c r="D18" s="70"/>
      <c r="E18" s="70"/>
      <c r="F18" s="71"/>
      <c r="G18" s="13"/>
    </row>
    <row r="19" spans="1:7" s="4" customFormat="1" ht="20.25" customHeight="1">
      <c r="A19" s="15" t="s">
        <v>12</v>
      </c>
      <c r="B19" s="5">
        <f t="shared" si="0"/>
        <v>0</v>
      </c>
      <c r="C19" s="70"/>
      <c r="D19" s="70"/>
      <c r="E19" s="70"/>
      <c r="F19" s="71"/>
      <c r="G19" s="13"/>
    </row>
    <row r="20" spans="1:7" s="4" customFormat="1" ht="38.25" customHeight="1">
      <c r="A20" s="58" t="s">
        <v>73</v>
      </c>
      <c r="B20" s="5">
        <f t="shared" si="0"/>
        <v>2492.1470000000004</v>
      </c>
      <c r="C20" s="168">
        <f>C21+C22</f>
        <v>2195.474</v>
      </c>
      <c r="D20" s="168">
        <f>D21+D22</f>
        <v>131.181</v>
      </c>
      <c r="E20" s="168">
        <f>E21+E22</f>
        <v>84.061</v>
      </c>
      <c r="F20" s="169">
        <f>F21+F22</f>
        <v>81.43100000000001</v>
      </c>
      <c r="G20" s="13"/>
    </row>
    <row r="21" spans="1:7" s="4" customFormat="1" ht="24.75" customHeight="1">
      <c r="A21" s="15" t="s">
        <v>13</v>
      </c>
      <c r="B21" s="5">
        <f t="shared" si="0"/>
        <v>2476.7470000000003</v>
      </c>
      <c r="C21" s="8">
        <v>2195.474</v>
      </c>
      <c r="D21" s="8">
        <v>131.181</v>
      </c>
      <c r="E21" s="8">
        <v>84.061</v>
      </c>
      <c r="F21" s="9">
        <v>66.031</v>
      </c>
      <c r="G21" s="13"/>
    </row>
    <row r="22" spans="1:7" s="4" customFormat="1" ht="25.5" customHeight="1">
      <c r="A22" s="15" t="s">
        <v>10</v>
      </c>
      <c r="B22" s="5">
        <f t="shared" si="0"/>
        <v>15.4</v>
      </c>
      <c r="C22" s="8"/>
      <c r="D22" s="8"/>
      <c r="E22" s="168">
        <f>E23+E24</f>
        <v>0</v>
      </c>
      <c r="F22" s="169">
        <f>F23+F24</f>
        <v>15.4</v>
      </c>
      <c r="G22" s="13"/>
    </row>
    <row r="23" spans="1:7" s="4" customFormat="1" ht="20.25" customHeight="1">
      <c r="A23" s="15" t="s">
        <v>11</v>
      </c>
      <c r="B23" s="5">
        <f t="shared" si="0"/>
        <v>15.4</v>
      </c>
      <c r="C23" s="70"/>
      <c r="D23" s="70"/>
      <c r="E23" s="70"/>
      <c r="F23" s="71">
        <v>15.4</v>
      </c>
      <c r="G23" s="13"/>
    </row>
    <row r="24" spans="1:7" s="4" customFormat="1" ht="22.5" customHeight="1">
      <c r="A24" s="15" t="s">
        <v>12</v>
      </c>
      <c r="B24" s="5">
        <f t="shared" si="0"/>
        <v>0</v>
      </c>
      <c r="C24" s="11"/>
      <c r="D24" s="11"/>
      <c r="E24" s="11"/>
      <c r="F24" s="12"/>
      <c r="G24" s="7"/>
    </row>
    <row r="25" spans="1:7" s="4" customFormat="1" ht="43.5" customHeight="1">
      <c r="A25" s="58" t="s">
        <v>7</v>
      </c>
      <c r="B25" s="5">
        <f t="shared" si="0"/>
        <v>11428.833</v>
      </c>
      <c r="C25" s="168">
        <f>C26+C27</f>
        <v>6574.714</v>
      </c>
      <c r="D25" s="168">
        <f>D26+D27</f>
        <v>0</v>
      </c>
      <c r="E25" s="168">
        <f>E26+E27</f>
        <v>1676.7700000000002</v>
      </c>
      <c r="F25" s="169">
        <f>F26+F27</f>
        <v>3177.3489999999997</v>
      </c>
      <c r="G25" s="7"/>
    </row>
    <row r="26" spans="1:7" s="4" customFormat="1" ht="24.75" customHeight="1">
      <c r="A26" s="15" t="s">
        <v>13</v>
      </c>
      <c r="B26" s="5">
        <f t="shared" si="0"/>
        <v>9138.012</v>
      </c>
      <c r="C26" s="8">
        <f>6574.714-C27</f>
        <v>6574.714</v>
      </c>
      <c r="D26" s="8"/>
      <c r="E26" s="168">
        <v>1627.332</v>
      </c>
      <c r="F26" s="169">
        <v>935.966</v>
      </c>
      <c r="G26" s="7"/>
    </row>
    <row r="27" spans="1:7" s="4" customFormat="1" ht="25.5" customHeight="1">
      <c r="A27" s="15" t="s">
        <v>10</v>
      </c>
      <c r="B27" s="5">
        <f t="shared" si="0"/>
        <v>2290.821</v>
      </c>
      <c r="C27" s="8"/>
      <c r="D27" s="8"/>
      <c r="E27" s="168">
        <f>E28+E29</f>
        <v>49.438</v>
      </c>
      <c r="F27" s="169">
        <f>F28+F29</f>
        <v>2241.383</v>
      </c>
      <c r="G27" s="7"/>
    </row>
    <row r="28" spans="1:7" s="4" customFormat="1" ht="23.25" customHeight="1">
      <c r="A28" s="15" t="s">
        <v>71</v>
      </c>
      <c r="B28" s="5">
        <f t="shared" si="0"/>
        <v>2263.17</v>
      </c>
      <c r="C28" s="70"/>
      <c r="D28" s="70"/>
      <c r="E28" s="70">
        <v>49.438</v>
      </c>
      <c r="F28" s="71">
        <f>2150.053+63.679</f>
        <v>2213.732</v>
      </c>
      <c r="G28" s="7"/>
    </row>
    <row r="29" spans="1:7" s="4" customFormat="1" ht="23.25" customHeight="1">
      <c r="A29" s="15" t="s">
        <v>12</v>
      </c>
      <c r="B29" s="5">
        <f t="shared" si="0"/>
        <v>27.651</v>
      </c>
      <c r="C29" s="70"/>
      <c r="D29" s="70"/>
      <c r="E29" s="70"/>
      <c r="F29" s="71">
        <v>27.651</v>
      </c>
      <c r="G29" s="7"/>
    </row>
    <row r="30" spans="1:7" s="4" customFormat="1" ht="23.25" customHeight="1">
      <c r="A30" s="58" t="s">
        <v>38</v>
      </c>
      <c r="B30" s="5">
        <f t="shared" si="0"/>
        <v>109.41</v>
      </c>
      <c r="C30" s="168"/>
      <c r="D30" s="168"/>
      <c r="E30" s="168">
        <f>E31+E32</f>
        <v>66.145</v>
      </c>
      <c r="F30" s="169">
        <f>F31+F32</f>
        <v>43.265</v>
      </c>
      <c r="G30" s="7"/>
    </row>
    <row r="31" spans="1:7" s="4" customFormat="1" ht="21" customHeight="1">
      <c r="A31" s="15" t="s">
        <v>13</v>
      </c>
      <c r="B31" s="5">
        <f t="shared" si="0"/>
        <v>88.823</v>
      </c>
      <c r="C31" s="8"/>
      <c r="D31" s="8"/>
      <c r="E31" s="168">
        <v>66.145</v>
      </c>
      <c r="F31" s="169">
        <v>22.678</v>
      </c>
      <c r="G31" s="7"/>
    </row>
    <row r="32" spans="1:7" s="4" customFormat="1" ht="19.5" customHeight="1">
      <c r="A32" s="15" t="s">
        <v>10</v>
      </c>
      <c r="B32" s="5">
        <f t="shared" si="0"/>
        <v>20.587</v>
      </c>
      <c r="C32" s="8"/>
      <c r="D32" s="8"/>
      <c r="E32" s="168">
        <f>E33+E34</f>
        <v>0</v>
      </c>
      <c r="F32" s="169">
        <f>F33+F34</f>
        <v>20.587</v>
      </c>
      <c r="G32" s="7"/>
    </row>
    <row r="33" spans="1:7" s="4" customFormat="1" ht="19.5" customHeight="1">
      <c r="A33" s="15" t="s">
        <v>11</v>
      </c>
      <c r="B33" s="5">
        <f t="shared" si="0"/>
        <v>15.81</v>
      </c>
      <c r="C33" s="70"/>
      <c r="D33" s="70"/>
      <c r="E33" s="70"/>
      <c r="F33" s="71">
        <v>15.81</v>
      </c>
      <c r="G33" s="7"/>
    </row>
    <row r="34" spans="1:7" s="4" customFormat="1" ht="19.5" customHeight="1">
      <c r="A34" s="15" t="s">
        <v>12</v>
      </c>
      <c r="B34" s="5">
        <f t="shared" si="0"/>
        <v>4.777</v>
      </c>
      <c r="C34" s="70"/>
      <c r="D34" s="70"/>
      <c r="E34" s="70"/>
      <c r="F34" s="71">
        <v>4.777</v>
      </c>
      <c r="G34" s="7"/>
    </row>
    <row r="35" spans="1:7" s="4" customFormat="1" ht="32.25" customHeight="1">
      <c r="A35" s="58" t="s">
        <v>39</v>
      </c>
      <c r="B35" s="5">
        <f t="shared" si="0"/>
        <v>93.459</v>
      </c>
      <c r="C35" s="168">
        <f>C36+C37</f>
        <v>0</v>
      </c>
      <c r="D35" s="72"/>
      <c r="E35" s="17">
        <f>E36+E37</f>
        <v>0</v>
      </c>
      <c r="F35" s="18">
        <f>F36+F37</f>
        <v>93.459</v>
      </c>
      <c r="G35" s="7"/>
    </row>
    <row r="36" spans="1:7" s="4" customFormat="1" ht="24.75" customHeight="1">
      <c r="A36" s="15" t="s">
        <v>13</v>
      </c>
      <c r="B36" s="5">
        <f t="shared" si="0"/>
        <v>80.363</v>
      </c>
      <c r="C36" s="8"/>
      <c r="D36" s="8"/>
      <c r="E36" s="8"/>
      <c r="F36" s="9">
        <v>80.363</v>
      </c>
      <c r="G36" s="13"/>
    </row>
    <row r="37" spans="1:7" s="4" customFormat="1" ht="24.75" customHeight="1">
      <c r="A37" s="15" t="s">
        <v>10</v>
      </c>
      <c r="B37" s="5">
        <f t="shared" si="0"/>
        <v>13.096</v>
      </c>
      <c r="C37" s="168">
        <f>C38+C39</f>
        <v>0</v>
      </c>
      <c r="D37" s="8"/>
      <c r="E37" s="168">
        <f>E38+E39</f>
        <v>0</v>
      </c>
      <c r="F37" s="169">
        <f>F38+F39</f>
        <v>13.096</v>
      </c>
      <c r="G37" s="13"/>
    </row>
    <row r="38" spans="1:7" s="4" customFormat="1" ht="24.75" customHeight="1">
      <c r="A38" s="15" t="s">
        <v>11</v>
      </c>
      <c r="B38" s="5">
        <f t="shared" si="0"/>
        <v>0</v>
      </c>
      <c r="C38" s="72"/>
      <c r="D38" s="72"/>
      <c r="E38" s="72"/>
      <c r="F38" s="12"/>
      <c r="G38" s="13"/>
    </row>
    <row r="39" spans="1:7" s="4" customFormat="1" ht="24.75" customHeight="1">
      <c r="A39" s="15" t="s">
        <v>12</v>
      </c>
      <c r="B39" s="5">
        <f t="shared" si="0"/>
        <v>13.096</v>
      </c>
      <c r="C39" s="72"/>
      <c r="D39" s="72"/>
      <c r="E39" s="72"/>
      <c r="F39" s="12">
        <v>13.096</v>
      </c>
      <c r="G39" s="13"/>
    </row>
    <row r="40" spans="1:7" s="4" customFormat="1" ht="37.5" customHeight="1">
      <c r="A40" s="58" t="s">
        <v>74</v>
      </c>
      <c r="B40" s="5">
        <f t="shared" si="0"/>
        <v>0</v>
      </c>
      <c r="C40" s="72">
        <f>C41+C42</f>
        <v>0</v>
      </c>
      <c r="D40" s="72"/>
      <c r="E40" s="72">
        <f>E41+E42</f>
        <v>0</v>
      </c>
      <c r="F40" s="18"/>
      <c r="G40" s="13"/>
    </row>
    <row r="41" spans="1:7" s="4" customFormat="1" ht="24.75" customHeight="1">
      <c r="A41" s="15" t="s">
        <v>13</v>
      </c>
      <c r="B41" s="5">
        <f t="shared" si="0"/>
        <v>0</v>
      </c>
      <c r="C41" s="8"/>
      <c r="D41" s="8"/>
      <c r="E41" s="8"/>
      <c r="F41" s="9"/>
      <c r="G41" s="13"/>
    </row>
    <row r="42" spans="1:7" s="4" customFormat="1" ht="24.75" customHeight="1">
      <c r="A42" s="15" t="s">
        <v>10</v>
      </c>
      <c r="B42" s="5">
        <f t="shared" si="0"/>
        <v>0</v>
      </c>
      <c r="C42" s="8"/>
      <c r="D42" s="8"/>
      <c r="E42" s="168">
        <f>E43+E44</f>
        <v>0</v>
      </c>
      <c r="F42" s="169">
        <f>F43+F44</f>
        <v>0</v>
      </c>
      <c r="G42" s="13"/>
    </row>
    <row r="43" spans="1:7" s="4" customFormat="1" ht="24.75" customHeight="1">
      <c r="A43" s="15" t="s">
        <v>11</v>
      </c>
      <c r="B43" s="5">
        <f t="shared" si="0"/>
        <v>0</v>
      </c>
      <c r="C43" s="72"/>
      <c r="D43" s="72"/>
      <c r="E43" s="72"/>
      <c r="F43" s="12"/>
      <c r="G43" s="13"/>
    </row>
    <row r="44" spans="1:7" s="4" customFormat="1" ht="24.75" customHeight="1">
      <c r="A44" s="15" t="s">
        <v>12</v>
      </c>
      <c r="B44" s="5">
        <f t="shared" si="0"/>
        <v>0</v>
      </c>
      <c r="C44" s="72"/>
      <c r="D44" s="72"/>
      <c r="E44" s="72"/>
      <c r="F44" s="12"/>
      <c r="G44" s="13"/>
    </row>
    <row r="45" spans="1:7" s="4" customFormat="1" ht="24.75" customHeight="1">
      <c r="A45" s="27" t="s">
        <v>26</v>
      </c>
      <c r="B45" s="5">
        <f t="shared" si="0"/>
        <v>523.9159999999999</v>
      </c>
      <c r="C45" s="10"/>
      <c r="D45" s="8"/>
      <c r="E45" s="8">
        <f>E46+E47</f>
        <v>418.649</v>
      </c>
      <c r="F45" s="9">
        <f>F46+F47</f>
        <v>105.267</v>
      </c>
      <c r="G45" s="13"/>
    </row>
    <row r="46" spans="1:7" s="4" customFormat="1" ht="25.5" customHeight="1">
      <c r="A46" s="15" t="s">
        <v>13</v>
      </c>
      <c r="B46" s="5">
        <f t="shared" si="0"/>
        <v>523.9159999999999</v>
      </c>
      <c r="C46" s="8"/>
      <c r="D46" s="8"/>
      <c r="E46" s="168">
        <v>418.649</v>
      </c>
      <c r="F46" s="169">
        <v>105.267</v>
      </c>
      <c r="G46" s="13"/>
    </row>
    <row r="47" spans="1:7" s="4" customFormat="1" ht="26.25" customHeight="1">
      <c r="A47" s="15" t="s">
        <v>10</v>
      </c>
      <c r="B47" s="5">
        <f t="shared" si="0"/>
        <v>0</v>
      </c>
      <c r="C47" s="8"/>
      <c r="D47" s="8"/>
      <c r="E47" s="168">
        <f>E48+E49</f>
        <v>0</v>
      </c>
      <c r="F47" s="169">
        <f>F48+F49</f>
        <v>0</v>
      </c>
      <c r="G47" s="13"/>
    </row>
    <row r="48" spans="1:7" s="4" customFormat="1" ht="26.25" customHeight="1">
      <c r="A48" s="15" t="s">
        <v>11</v>
      </c>
      <c r="B48" s="5">
        <f t="shared" si="0"/>
        <v>0</v>
      </c>
      <c r="C48" s="10"/>
      <c r="D48" s="8"/>
      <c r="E48" s="10"/>
      <c r="F48" s="14"/>
      <c r="G48" s="13"/>
    </row>
    <row r="49" spans="1:7" s="4" customFormat="1" ht="26.25" customHeight="1">
      <c r="A49" s="15" t="s">
        <v>12</v>
      </c>
      <c r="B49" s="5">
        <f t="shared" si="0"/>
        <v>0</v>
      </c>
      <c r="C49" s="10"/>
      <c r="D49" s="8"/>
      <c r="E49" s="10"/>
      <c r="F49" s="14"/>
      <c r="G49" s="13"/>
    </row>
    <row r="50" spans="1:7" s="4" customFormat="1" ht="26.25" customHeight="1">
      <c r="A50" s="27" t="s">
        <v>4</v>
      </c>
      <c r="B50" s="5">
        <f t="shared" si="0"/>
        <v>776.131</v>
      </c>
      <c r="C50" s="168">
        <f>C51+C52</f>
        <v>776.131</v>
      </c>
      <c r="D50" s="8"/>
      <c r="E50" s="8"/>
      <c r="F50" s="9"/>
      <c r="G50" s="13"/>
    </row>
    <row r="51" spans="1:7" s="4" customFormat="1" ht="24.75" customHeight="1">
      <c r="A51" s="15" t="s">
        <v>13</v>
      </c>
      <c r="B51" s="5">
        <f t="shared" si="0"/>
        <v>776.131</v>
      </c>
      <c r="C51" s="168">
        <v>776.131</v>
      </c>
      <c r="D51" s="8"/>
      <c r="E51" s="168">
        <f>E50-E52</f>
        <v>0</v>
      </c>
      <c r="F51" s="169">
        <f>F50-F52</f>
        <v>0</v>
      </c>
      <c r="G51" s="7"/>
    </row>
    <row r="52" spans="1:7" s="4" customFormat="1" ht="18" customHeight="1">
      <c r="A52" s="15" t="s">
        <v>10</v>
      </c>
      <c r="B52" s="5">
        <f t="shared" si="0"/>
        <v>0</v>
      </c>
      <c r="C52" s="168">
        <f>C53+C54</f>
        <v>0</v>
      </c>
      <c r="D52" s="8"/>
      <c r="E52" s="168">
        <f>E53+E54</f>
        <v>0</v>
      </c>
      <c r="F52" s="169">
        <f>F53+F54</f>
        <v>0</v>
      </c>
      <c r="G52" s="7"/>
    </row>
    <row r="53" spans="1:7" s="4" customFormat="1" ht="19.5" customHeight="1">
      <c r="A53" s="15" t="s">
        <v>11</v>
      </c>
      <c r="B53" s="5">
        <f t="shared" si="0"/>
        <v>0</v>
      </c>
      <c r="C53" s="70"/>
      <c r="D53" s="8"/>
      <c r="E53" s="8"/>
      <c r="F53" s="9"/>
      <c r="G53" s="7"/>
    </row>
    <row r="54" spans="1:7" s="4" customFormat="1" ht="19.5" customHeight="1">
      <c r="A54" s="15" t="s">
        <v>12</v>
      </c>
      <c r="B54" s="5">
        <f aca="true" t="shared" si="1" ref="B54:B113">C54+D54+E54+F54</f>
        <v>0</v>
      </c>
      <c r="C54" s="70"/>
      <c r="D54" s="8"/>
      <c r="E54" s="8"/>
      <c r="F54" s="9"/>
      <c r="G54" s="7"/>
    </row>
    <row r="55" spans="1:6" s="7" customFormat="1" ht="49.5" customHeight="1">
      <c r="A55" s="58" t="s">
        <v>40</v>
      </c>
      <c r="B55" s="5">
        <f t="shared" si="1"/>
        <v>1667.6599999999999</v>
      </c>
      <c r="C55" s="168">
        <f>C56+C57</f>
        <v>985.544</v>
      </c>
      <c r="D55" s="168">
        <f>D56+D57</f>
        <v>0</v>
      </c>
      <c r="E55" s="168">
        <f>E56+E57</f>
        <v>282.759</v>
      </c>
      <c r="F55" s="169">
        <f>F56+F57</f>
        <v>399.357</v>
      </c>
    </row>
    <row r="56" spans="1:6" ht="18.75">
      <c r="A56" s="15" t="s">
        <v>13</v>
      </c>
      <c r="B56" s="5">
        <f t="shared" si="1"/>
        <v>1386.5099999999998</v>
      </c>
      <c r="C56" s="168">
        <v>985.544</v>
      </c>
      <c r="D56" s="168">
        <v>0</v>
      </c>
      <c r="E56" s="168">
        <v>282.759</v>
      </c>
      <c r="F56" s="169">
        <v>118.207</v>
      </c>
    </row>
    <row r="57" spans="1:6" ht="18.75">
      <c r="A57" s="15" t="s">
        <v>10</v>
      </c>
      <c r="B57" s="5">
        <f t="shared" si="1"/>
        <v>281.15000000000003</v>
      </c>
      <c r="C57" s="168">
        <f>C58+C59</f>
        <v>0</v>
      </c>
      <c r="D57" s="168">
        <f>D58+D59</f>
        <v>0</v>
      </c>
      <c r="E57" s="168">
        <f>E58+E59</f>
        <v>0</v>
      </c>
      <c r="F57" s="169">
        <f>F58+F59</f>
        <v>281.15000000000003</v>
      </c>
    </row>
    <row r="58" spans="1:7" s="63" customFormat="1" ht="23.25" customHeight="1">
      <c r="A58" s="15" t="s">
        <v>11</v>
      </c>
      <c r="B58" s="5">
        <f t="shared" si="1"/>
        <v>254.698</v>
      </c>
      <c r="C58" s="70"/>
      <c r="D58" s="8"/>
      <c r="E58" s="8"/>
      <c r="F58" s="9">
        <v>254.698</v>
      </c>
      <c r="G58" s="7"/>
    </row>
    <row r="59" spans="1:7" s="63" customFormat="1" ht="23.25" customHeight="1">
      <c r="A59" s="15" t="s">
        <v>12</v>
      </c>
      <c r="B59" s="5">
        <f t="shared" si="1"/>
        <v>26.452</v>
      </c>
      <c r="C59" s="70"/>
      <c r="D59" s="8"/>
      <c r="E59" s="8"/>
      <c r="F59" s="9">
        <v>26.452</v>
      </c>
      <c r="G59" s="7"/>
    </row>
    <row r="60" spans="1:7" s="63" customFormat="1" ht="24.75" customHeight="1">
      <c r="A60" s="58" t="s">
        <v>25</v>
      </c>
      <c r="B60" s="5">
        <f t="shared" si="1"/>
        <v>2031.258</v>
      </c>
      <c r="C60" s="8">
        <f>C61+C62</f>
        <v>2023.884</v>
      </c>
      <c r="D60" s="8"/>
      <c r="E60" s="8">
        <f>E61+E62</f>
        <v>0</v>
      </c>
      <c r="F60" s="9">
        <f>F61+F62</f>
        <v>7.374</v>
      </c>
      <c r="G60" s="7"/>
    </row>
    <row r="61" spans="1:7" s="63" customFormat="1" ht="21" customHeight="1">
      <c r="A61" s="15" t="s">
        <v>13</v>
      </c>
      <c r="B61" s="5">
        <f t="shared" si="1"/>
        <v>2031.258</v>
      </c>
      <c r="C61" s="82">
        <v>2023.884</v>
      </c>
      <c r="D61" s="82"/>
      <c r="E61" s="82"/>
      <c r="F61" s="83">
        <v>7.374</v>
      </c>
      <c r="G61" s="47"/>
    </row>
    <row r="62" spans="1:7" s="63" customFormat="1" ht="23.25" customHeight="1">
      <c r="A62" s="15" t="s">
        <v>10</v>
      </c>
      <c r="B62" s="5">
        <f t="shared" si="1"/>
        <v>0</v>
      </c>
      <c r="C62" s="8">
        <f>C63+C64</f>
        <v>0</v>
      </c>
      <c r="D62" s="8"/>
      <c r="E62" s="8">
        <f>E63+E64</f>
        <v>0</v>
      </c>
      <c r="F62" s="9">
        <f>F63+F64</f>
        <v>0</v>
      </c>
      <c r="G62" s="7"/>
    </row>
    <row r="63" spans="1:7" s="63" customFormat="1" ht="23.25" customHeight="1">
      <c r="A63" s="15" t="s">
        <v>11</v>
      </c>
      <c r="B63" s="5">
        <f t="shared" si="1"/>
        <v>0</v>
      </c>
      <c r="C63" s="168"/>
      <c r="D63" s="8"/>
      <c r="E63" s="10"/>
      <c r="F63" s="14"/>
      <c r="G63" s="7"/>
    </row>
    <row r="64" spans="1:7" s="63" customFormat="1" ht="24" customHeight="1">
      <c r="A64" s="15" t="s">
        <v>12</v>
      </c>
      <c r="B64" s="5">
        <f t="shared" si="1"/>
        <v>0</v>
      </c>
      <c r="C64" s="168"/>
      <c r="D64" s="8"/>
      <c r="E64" s="168"/>
      <c r="F64" s="169"/>
      <c r="G64" s="7"/>
    </row>
    <row r="65" spans="1:6" s="63" customFormat="1" ht="28.5" customHeight="1">
      <c r="A65" s="58" t="s">
        <v>41</v>
      </c>
      <c r="B65" s="5">
        <f t="shared" si="1"/>
        <v>16.962</v>
      </c>
      <c r="C65" s="8">
        <f>C66+C67</f>
        <v>0</v>
      </c>
      <c r="D65" s="8"/>
      <c r="E65" s="8">
        <f>E66+E67</f>
        <v>16.962</v>
      </c>
      <c r="F65" s="9">
        <f>F66+F67</f>
        <v>0</v>
      </c>
    </row>
    <row r="66" spans="1:6" ht="18.75">
      <c r="A66" s="15" t="s">
        <v>13</v>
      </c>
      <c r="B66" s="5">
        <f t="shared" si="1"/>
        <v>16.962</v>
      </c>
      <c r="C66" s="82"/>
      <c r="D66" s="82"/>
      <c r="E66" s="82">
        <v>16.962</v>
      </c>
      <c r="F66" s="83"/>
    </row>
    <row r="67" spans="1:6" ht="18.75">
      <c r="A67" s="15" t="s">
        <v>10</v>
      </c>
      <c r="B67" s="5">
        <f t="shared" si="1"/>
        <v>0</v>
      </c>
      <c r="C67" s="70"/>
      <c r="D67" s="8"/>
      <c r="E67" s="8">
        <f>E69+E68</f>
        <v>0</v>
      </c>
      <c r="F67" s="9">
        <f>F69+F68</f>
        <v>0</v>
      </c>
    </row>
    <row r="68" spans="1:6" ht="18.75">
      <c r="A68" s="15" t="s">
        <v>11</v>
      </c>
      <c r="B68" s="5">
        <f t="shared" si="1"/>
        <v>0</v>
      </c>
      <c r="C68" s="70"/>
      <c r="D68" s="8"/>
      <c r="E68" s="10"/>
      <c r="F68" s="14"/>
    </row>
    <row r="69" spans="1:6" ht="18.75">
      <c r="A69" s="15" t="s">
        <v>12</v>
      </c>
      <c r="B69" s="5">
        <f t="shared" si="1"/>
        <v>0</v>
      </c>
      <c r="C69" s="70"/>
      <c r="D69" s="8"/>
      <c r="E69" s="10"/>
      <c r="F69" s="14"/>
    </row>
    <row r="70" spans="1:6" ht="36">
      <c r="A70" s="58" t="s">
        <v>23</v>
      </c>
      <c r="B70" s="5">
        <f t="shared" si="1"/>
        <v>78.108</v>
      </c>
      <c r="C70" s="70"/>
      <c r="D70" s="8"/>
      <c r="E70" s="8">
        <f>E71+E72</f>
        <v>0</v>
      </c>
      <c r="F70" s="9">
        <f>F71+F72</f>
        <v>78.108</v>
      </c>
    </row>
    <row r="71" spans="1:6" ht="18.75">
      <c r="A71" s="15" t="s">
        <v>13</v>
      </c>
      <c r="B71" s="5">
        <f t="shared" si="1"/>
        <v>6.336</v>
      </c>
      <c r="C71" s="70"/>
      <c r="D71" s="8"/>
      <c r="E71" s="8"/>
      <c r="F71" s="170">
        <v>6.336</v>
      </c>
    </row>
    <row r="72" spans="1:6" ht="18.75">
      <c r="A72" s="15" t="s">
        <v>10</v>
      </c>
      <c r="B72" s="5">
        <f t="shared" si="1"/>
        <v>71.772</v>
      </c>
      <c r="C72" s="70"/>
      <c r="D72" s="8"/>
      <c r="E72" s="8">
        <f>E74+E73</f>
        <v>0</v>
      </c>
      <c r="F72" s="9">
        <f>F74+F73</f>
        <v>71.772</v>
      </c>
    </row>
    <row r="73" spans="1:6" ht="18.75">
      <c r="A73" s="15" t="s">
        <v>11</v>
      </c>
      <c r="B73" s="5">
        <f t="shared" si="1"/>
        <v>71.772</v>
      </c>
      <c r="C73" s="70"/>
      <c r="D73" s="8"/>
      <c r="E73" s="10"/>
      <c r="F73" s="14">
        <v>71.772</v>
      </c>
    </row>
    <row r="74" spans="1:6" ht="18.75">
      <c r="A74" s="15" t="s">
        <v>12</v>
      </c>
      <c r="B74" s="5">
        <f t="shared" si="1"/>
        <v>0</v>
      </c>
      <c r="C74" s="70"/>
      <c r="D74" s="8"/>
      <c r="E74" s="10"/>
      <c r="F74" s="14"/>
    </row>
    <row r="75" spans="1:6" ht="36">
      <c r="A75" s="58" t="s">
        <v>42</v>
      </c>
      <c r="B75" s="5">
        <f t="shared" si="1"/>
        <v>230.02100000000002</v>
      </c>
      <c r="C75" s="70"/>
      <c r="D75" s="8"/>
      <c r="E75" s="8">
        <f>E76+E77</f>
        <v>12.777</v>
      </c>
      <c r="F75" s="9">
        <f>F76+F77</f>
        <v>217.24400000000003</v>
      </c>
    </row>
    <row r="76" spans="1:6" ht="18.75">
      <c r="A76" s="15" t="s">
        <v>13</v>
      </c>
      <c r="B76" s="5">
        <f t="shared" si="1"/>
        <v>72.483</v>
      </c>
      <c r="C76" s="70"/>
      <c r="D76" s="8"/>
      <c r="E76" s="171">
        <v>12.777</v>
      </c>
      <c r="F76" s="170">
        <v>59.706</v>
      </c>
    </row>
    <row r="77" spans="1:6" ht="18.75">
      <c r="A77" s="15" t="s">
        <v>10</v>
      </c>
      <c r="B77" s="5">
        <f t="shared" si="1"/>
        <v>157.538</v>
      </c>
      <c r="C77" s="70"/>
      <c r="D77" s="8"/>
      <c r="E77" s="8">
        <f>E79+E78</f>
        <v>0</v>
      </c>
      <c r="F77" s="9">
        <f>F79+F78</f>
        <v>157.538</v>
      </c>
    </row>
    <row r="78" spans="1:6" ht="18.75">
      <c r="A78" s="15" t="s">
        <v>11</v>
      </c>
      <c r="B78" s="5">
        <f t="shared" si="1"/>
        <v>0</v>
      </c>
      <c r="C78" s="70"/>
      <c r="D78" s="8"/>
      <c r="E78" s="8"/>
      <c r="F78" s="9"/>
    </row>
    <row r="79" spans="1:6" ht="18.75">
      <c r="A79" s="15" t="s">
        <v>12</v>
      </c>
      <c r="B79" s="5">
        <f t="shared" si="1"/>
        <v>157.538</v>
      </c>
      <c r="C79" s="70"/>
      <c r="D79" s="8"/>
      <c r="E79" s="8"/>
      <c r="F79" s="9">
        <v>157.538</v>
      </c>
    </row>
    <row r="80" spans="1:6" ht="18">
      <c r="A80" s="58" t="s">
        <v>21</v>
      </c>
      <c r="B80" s="5">
        <f t="shared" si="1"/>
        <v>270.645</v>
      </c>
      <c r="C80" s="8">
        <f>C81+C82</f>
        <v>0</v>
      </c>
      <c r="D80" s="8"/>
      <c r="E80" s="8">
        <f>E81+E82</f>
        <v>270.645</v>
      </c>
      <c r="F80" s="9">
        <f>F81+F82</f>
        <v>0</v>
      </c>
    </row>
    <row r="81" spans="1:6" ht="18.75">
      <c r="A81" s="15" t="s">
        <v>13</v>
      </c>
      <c r="B81" s="5">
        <f t="shared" si="1"/>
        <v>270.645</v>
      </c>
      <c r="C81" s="82"/>
      <c r="D81" s="82"/>
      <c r="E81" s="82">
        <v>270.645</v>
      </c>
      <c r="F81" s="83"/>
    </row>
    <row r="82" spans="1:6" ht="20.25" customHeight="1">
      <c r="A82" s="15" t="s">
        <v>10</v>
      </c>
      <c r="B82" s="5">
        <f t="shared" si="1"/>
        <v>0</v>
      </c>
      <c r="C82" s="70"/>
      <c r="D82" s="8"/>
      <c r="E82" s="8">
        <f>E84+E83</f>
        <v>0</v>
      </c>
      <c r="F82" s="9">
        <f>F84+F83</f>
        <v>0</v>
      </c>
    </row>
    <row r="83" spans="1:6" ht="18.75">
      <c r="A83" s="15" t="s">
        <v>11</v>
      </c>
      <c r="B83" s="5">
        <f t="shared" si="1"/>
        <v>0</v>
      </c>
      <c r="C83" s="70"/>
      <c r="D83" s="8"/>
      <c r="E83" s="10"/>
      <c r="F83" s="14"/>
    </row>
    <row r="84" spans="1:6" ht="18.75">
      <c r="A84" s="15" t="s">
        <v>12</v>
      </c>
      <c r="B84" s="5">
        <f t="shared" si="1"/>
        <v>0</v>
      </c>
      <c r="C84" s="70"/>
      <c r="D84" s="8"/>
      <c r="E84" s="10"/>
      <c r="F84" s="14"/>
    </row>
    <row r="85" spans="1:6" ht="36">
      <c r="A85" s="58" t="s">
        <v>22</v>
      </c>
      <c r="B85" s="5">
        <f t="shared" si="1"/>
        <v>405.292</v>
      </c>
      <c r="C85" s="70"/>
      <c r="D85" s="8"/>
      <c r="E85" s="8">
        <f>E86+E87</f>
        <v>405.292</v>
      </c>
      <c r="F85" s="9">
        <f>F86+F87</f>
        <v>0</v>
      </c>
    </row>
    <row r="86" spans="1:6" ht="18.75">
      <c r="A86" s="15" t="s">
        <v>13</v>
      </c>
      <c r="B86" s="5">
        <f t="shared" si="1"/>
        <v>405.292</v>
      </c>
      <c r="C86" s="70"/>
      <c r="D86" s="8"/>
      <c r="E86" s="8">
        <v>405.292</v>
      </c>
      <c r="F86" s="170"/>
    </row>
    <row r="87" spans="1:6" ht="18.75">
      <c r="A87" s="15" t="s">
        <v>10</v>
      </c>
      <c r="B87" s="5">
        <f t="shared" si="1"/>
        <v>0</v>
      </c>
      <c r="C87" s="70"/>
      <c r="D87" s="8"/>
      <c r="E87" s="8">
        <f>E89+E88</f>
        <v>0</v>
      </c>
      <c r="F87" s="9">
        <f>F89+F88</f>
        <v>0</v>
      </c>
    </row>
    <row r="88" spans="1:6" ht="18.75">
      <c r="A88" s="15" t="s">
        <v>11</v>
      </c>
      <c r="B88" s="5">
        <f t="shared" si="1"/>
        <v>0</v>
      </c>
      <c r="C88" s="70"/>
      <c r="D88" s="8"/>
      <c r="E88" s="10"/>
      <c r="F88" s="14"/>
    </row>
    <row r="89" spans="1:6" ht="18.75">
      <c r="A89" s="15" t="s">
        <v>12</v>
      </c>
      <c r="B89" s="5">
        <f t="shared" si="1"/>
        <v>0</v>
      </c>
      <c r="C89" s="70"/>
      <c r="D89" s="8"/>
      <c r="E89" s="10"/>
      <c r="F89" s="14"/>
    </row>
    <row r="90" spans="1:6" ht="18">
      <c r="A90" s="58" t="s">
        <v>49</v>
      </c>
      <c r="B90" s="5">
        <f t="shared" si="1"/>
        <v>0</v>
      </c>
      <c r="C90" s="70"/>
      <c r="D90" s="8"/>
      <c r="E90" s="8">
        <f>E91+E92</f>
        <v>0</v>
      </c>
      <c r="F90" s="9">
        <f>F91+F92</f>
        <v>0</v>
      </c>
    </row>
    <row r="91" spans="1:6" ht="18.75">
      <c r="A91" s="15" t="s">
        <v>13</v>
      </c>
      <c r="B91" s="5">
        <f t="shared" si="1"/>
        <v>0</v>
      </c>
      <c r="C91" s="70"/>
      <c r="D91" s="8"/>
      <c r="E91" s="8"/>
      <c r="F91" s="170"/>
    </row>
    <row r="92" spans="1:6" ht="18.75">
      <c r="A92" s="15" t="s">
        <v>10</v>
      </c>
      <c r="B92" s="5">
        <f t="shared" si="1"/>
        <v>0</v>
      </c>
      <c r="C92" s="70"/>
      <c r="D92" s="8"/>
      <c r="E92" s="8">
        <f>E94+E93</f>
        <v>0</v>
      </c>
      <c r="F92" s="9">
        <f>F94+F93</f>
        <v>0</v>
      </c>
    </row>
    <row r="93" spans="1:6" ht="18.75">
      <c r="A93" s="15" t="s">
        <v>11</v>
      </c>
      <c r="B93" s="5">
        <f t="shared" si="1"/>
        <v>0</v>
      </c>
      <c r="C93" s="70"/>
      <c r="D93" s="8"/>
      <c r="E93" s="8"/>
      <c r="F93" s="9"/>
    </row>
    <row r="94" spans="1:6" ht="18.75">
      <c r="A94" s="15" t="s">
        <v>12</v>
      </c>
      <c r="B94" s="5">
        <f t="shared" si="1"/>
        <v>0</v>
      </c>
      <c r="C94" s="70"/>
      <c r="D94" s="8"/>
      <c r="E94" s="8"/>
      <c r="F94" s="9"/>
    </row>
    <row r="95" spans="1:6" ht="18">
      <c r="A95" s="58" t="s">
        <v>70</v>
      </c>
      <c r="B95" s="5">
        <f t="shared" si="1"/>
        <v>82.254</v>
      </c>
      <c r="C95" s="168"/>
      <c r="D95" s="8"/>
      <c r="E95" s="168">
        <f>E96+E97</f>
        <v>82.254</v>
      </c>
      <c r="F95" s="169">
        <f>F96+F97</f>
        <v>0</v>
      </c>
    </row>
    <row r="96" spans="1:6" ht="18.75">
      <c r="A96" s="15" t="s">
        <v>13</v>
      </c>
      <c r="B96" s="5">
        <f t="shared" si="1"/>
        <v>57.936</v>
      </c>
      <c r="C96" s="8"/>
      <c r="D96" s="8"/>
      <c r="E96" s="168">
        <v>57.936</v>
      </c>
      <c r="F96" s="169"/>
    </row>
    <row r="97" spans="1:6" ht="18.75">
      <c r="A97" s="15" t="s">
        <v>10</v>
      </c>
      <c r="B97" s="5">
        <f t="shared" si="1"/>
        <v>24.318</v>
      </c>
      <c r="C97" s="8"/>
      <c r="D97" s="8"/>
      <c r="E97" s="168">
        <f>E98+E99</f>
        <v>24.318</v>
      </c>
      <c r="F97" s="169">
        <f>F98+F99</f>
        <v>0</v>
      </c>
    </row>
    <row r="98" spans="1:6" ht="18.75">
      <c r="A98" s="15" t="s">
        <v>11</v>
      </c>
      <c r="B98" s="5">
        <f t="shared" si="1"/>
        <v>24.318</v>
      </c>
      <c r="C98" s="8"/>
      <c r="D98" s="8"/>
      <c r="E98" s="70">
        <v>24.318</v>
      </c>
      <c r="F98" s="71"/>
    </row>
    <row r="99" spans="1:6" ht="18.75">
      <c r="A99" s="15" t="s">
        <v>12</v>
      </c>
      <c r="B99" s="5">
        <f t="shared" si="1"/>
        <v>0</v>
      </c>
      <c r="C99" s="70"/>
      <c r="D99" s="8"/>
      <c r="E99" s="8"/>
      <c r="F99" s="9"/>
    </row>
    <row r="100" spans="1:6" ht="18">
      <c r="A100" s="58" t="s">
        <v>8</v>
      </c>
      <c r="B100" s="5">
        <f t="shared" si="1"/>
        <v>1314.882</v>
      </c>
      <c r="C100" s="168">
        <f>C101+C102</f>
        <v>0</v>
      </c>
      <c r="D100" s="168">
        <f>D101+D102</f>
        <v>0</v>
      </c>
      <c r="E100" s="168">
        <f>E101+E102</f>
        <v>663.304</v>
      </c>
      <c r="F100" s="169">
        <f>F101+F102</f>
        <v>651.578</v>
      </c>
    </row>
    <row r="101" spans="1:6" ht="18.75">
      <c r="A101" s="15" t="s">
        <v>13</v>
      </c>
      <c r="B101" s="5">
        <f t="shared" si="1"/>
        <v>626.804</v>
      </c>
      <c r="C101" s="8"/>
      <c r="D101" s="8"/>
      <c r="E101" s="168">
        <v>506.609</v>
      </c>
      <c r="F101" s="169">
        <v>120.195</v>
      </c>
    </row>
    <row r="102" spans="1:6" ht="18.75">
      <c r="A102" s="15" t="s">
        <v>10</v>
      </c>
      <c r="B102" s="5">
        <f t="shared" si="1"/>
        <v>688.078</v>
      </c>
      <c r="C102" s="8"/>
      <c r="D102" s="8"/>
      <c r="E102" s="8">
        <f>E104+E103</f>
        <v>156.695</v>
      </c>
      <c r="F102" s="9">
        <f>F104+F103</f>
        <v>531.383</v>
      </c>
    </row>
    <row r="103" spans="1:6" ht="18.75">
      <c r="A103" s="15" t="s">
        <v>11</v>
      </c>
      <c r="B103" s="5">
        <f t="shared" si="1"/>
        <v>540.251</v>
      </c>
      <c r="C103" s="8"/>
      <c r="D103" s="8"/>
      <c r="E103" s="70">
        <v>148.692</v>
      </c>
      <c r="F103" s="71">
        <v>391.559</v>
      </c>
    </row>
    <row r="104" spans="1:6" ht="18.75">
      <c r="A104" s="15" t="s">
        <v>12</v>
      </c>
      <c r="B104" s="5">
        <f t="shared" si="1"/>
        <v>147.827</v>
      </c>
      <c r="C104" s="8"/>
      <c r="D104" s="8"/>
      <c r="E104" s="70">
        <f>1.683+6.32</f>
        <v>8.003</v>
      </c>
      <c r="F104" s="71">
        <f>89.664+50.16</f>
        <v>139.824</v>
      </c>
    </row>
    <row r="105" spans="1:6" ht="18">
      <c r="A105" s="58" t="s">
        <v>5</v>
      </c>
      <c r="B105" s="5">
        <f t="shared" si="1"/>
        <v>2946.06</v>
      </c>
      <c r="C105" s="168">
        <f>C106+C107</f>
        <v>332.243</v>
      </c>
      <c r="D105" s="8"/>
      <c r="E105" s="168">
        <f>E106+E107</f>
        <v>1815.058</v>
      </c>
      <c r="F105" s="169">
        <f>F106+F107</f>
        <v>798.759</v>
      </c>
    </row>
    <row r="106" spans="1:6" ht="18.75">
      <c r="A106" s="15" t="s">
        <v>13</v>
      </c>
      <c r="B106" s="5">
        <f t="shared" si="1"/>
        <v>2017.571</v>
      </c>
      <c r="C106" s="168">
        <v>332.243</v>
      </c>
      <c r="D106" s="8"/>
      <c r="E106" s="168">
        <v>1409.292</v>
      </c>
      <c r="F106" s="169">
        <v>276.036</v>
      </c>
    </row>
    <row r="107" spans="1:6" ht="18.75">
      <c r="A107" s="15" t="s">
        <v>10</v>
      </c>
      <c r="B107" s="5">
        <f t="shared" si="1"/>
        <v>928.4889999999999</v>
      </c>
      <c r="C107" s="8"/>
      <c r="D107" s="8"/>
      <c r="E107" s="8">
        <f>E109+E108</f>
        <v>405.76599999999996</v>
      </c>
      <c r="F107" s="9">
        <f>F109+F108</f>
        <v>522.723</v>
      </c>
    </row>
    <row r="108" spans="1:6" ht="18.75">
      <c r="A108" s="15" t="s">
        <v>11</v>
      </c>
      <c r="B108" s="5">
        <f t="shared" si="1"/>
        <v>835.102</v>
      </c>
      <c r="C108" s="70"/>
      <c r="D108" s="70"/>
      <c r="E108" s="70">
        <v>379.873</v>
      </c>
      <c r="F108" s="71">
        <v>455.229</v>
      </c>
    </row>
    <row r="109" spans="1:6" ht="18.75">
      <c r="A109" s="15" t="s">
        <v>12</v>
      </c>
      <c r="B109" s="5">
        <f t="shared" si="1"/>
        <v>93.387</v>
      </c>
      <c r="C109" s="70"/>
      <c r="D109" s="70"/>
      <c r="E109" s="70">
        <f>6.024+19.869</f>
        <v>25.893</v>
      </c>
      <c r="F109" s="71">
        <v>67.494</v>
      </c>
    </row>
    <row r="110" spans="1:6" ht="36">
      <c r="A110" s="58" t="s">
        <v>43</v>
      </c>
      <c r="B110" s="5">
        <f t="shared" si="1"/>
        <v>5156.307</v>
      </c>
      <c r="C110" s="168"/>
      <c r="D110" s="8"/>
      <c r="E110" s="168">
        <f>E111+E112</f>
        <v>1065.008</v>
      </c>
      <c r="F110" s="169">
        <f>F111+F112</f>
        <v>4091.299</v>
      </c>
    </row>
    <row r="111" spans="1:6" ht="18.75">
      <c r="A111" s="15" t="s">
        <v>13</v>
      </c>
      <c r="B111" s="5">
        <f t="shared" si="1"/>
        <v>2287.196</v>
      </c>
      <c r="C111" s="8"/>
      <c r="D111" s="8"/>
      <c r="E111" s="168">
        <v>1032.945</v>
      </c>
      <c r="F111" s="169">
        <v>1254.251</v>
      </c>
    </row>
    <row r="112" spans="1:6" ht="18.75">
      <c r="A112" s="15" t="s">
        <v>10</v>
      </c>
      <c r="B112" s="5">
        <f t="shared" si="1"/>
        <v>2869.1110000000003</v>
      </c>
      <c r="C112" s="8"/>
      <c r="D112" s="8"/>
      <c r="E112" s="168">
        <f>E113+E114</f>
        <v>32.063</v>
      </c>
      <c r="F112" s="169">
        <f>F113+F114</f>
        <v>2837.0480000000002</v>
      </c>
    </row>
    <row r="113" spans="1:6" ht="18.75">
      <c r="A113" s="15" t="s">
        <v>11</v>
      </c>
      <c r="B113" s="5">
        <f t="shared" si="1"/>
        <v>271.532</v>
      </c>
      <c r="C113" s="10"/>
      <c r="D113" s="8"/>
      <c r="E113" s="70">
        <v>12.4</v>
      </c>
      <c r="F113" s="71">
        <v>259.132</v>
      </c>
    </row>
    <row r="114" spans="1:6" ht="19.5" thickBot="1">
      <c r="A114" s="16" t="s">
        <v>12</v>
      </c>
      <c r="B114" s="29">
        <f>C114+D114+E114+F114</f>
        <v>2597.579</v>
      </c>
      <c r="C114" s="21"/>
      <c r="D114" s="19"/>
      <c r="E114" s="86">
        <v>19.663</v>
      </c>
      <c r="F114" s="87">
        <v>2577.916</v>
      </c>
    </row>
    <row r="115" spans="1:6" ht="18.75" thickBot="1">
      <c r="A115" s="164"/>
      <c r="B115" s="165"/>
      <c r="C115" s="165"/>
      <c r="D115" s="165"/>
      <c r="E115" s="165"/>
      <c r="F115" s="165"/>
    </row>
    <row r="116" spans="1:6" ht="24" thickBot="1">
      <c r="A116" s="163" t="s">
        <v>72</v>
      </c>
      <c r="B116" s="113">
        <f>C116+D116+E116+F116</f>
        <v>106398.317</v>
      </c>
      <c r="C116" s="118">
        <f>C110+C105+C100+C95+C90+C85+C80+C75+C70+C65+C60+C55+C50+C45+C40+C35+C30+C25+C20+C15+C10+C5</f>
        <v>43413.22</v>
      </c>
      <c r="D116" s="118">
        <f>D110+D105+D100+D95+D90+D85+D80+D75+D70+D65+D60+D55+D50+D45+D40+D35+D30+D25+D20+D15+D10+D5</f>
        <v>1317.342</v>
      </c>
      <c r="E116" s="118">
        <f>E110+E105+E100+E95+E90+E85+E80+E75+E70+E65+E60+E55+E50+E45+E40+E35+E30+E25+E20+E15+E10+E5</f>
        <v>26502.267</v>
      </c>
      <c r="F116" s="118">
        <f>F110+F105+F100+F95+F90+F85+F80+F75+F70+F65+F60+F55+F50+F45+F40+F35+F30+F25+F20+F15+F10+F5</f>
        <v>35165.488</v>
      </c>
    </row>
    <row r="119" spans="2:6" ht="20.25">
      <c r="B119" s="108"/>
      <c r="C119" s="108"/>
      <c r="D119" s="108"/>
      <c r="E119" s="108"/>
      <c r="F119" s="108"/>
    </row>
    <row r="122" spans="3:6" ht="33.75" customHeight="1">
      <c r="C122" s="108"/>
      <c r="D122" s="108"/>
      <c r="E122" s="108"/>
      <c r="F122" s="108"/>
    </row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zoomScale="60" zoomScaleNormal="60" zoomScalePageLayoutView="0" workbookViewId="0" topLeftCell="A1">
      <pane xSplit="1" ySplit="6" topLeftCell="B7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16" sqref="A116:IV116"/>
    </sheetView>
  </sheetViews>
  <sheetFormatPr defaultColWidth="9.00390625" defaultRowHeight="12.75"/>
  <cols>
    <col min="1" max="1" width="73.00390625" style="59" customWidth="1"/>
    <col min="2" max="7" width="27.00390625" style="59" customWidth="1"/>
    <col min="8" max="16384" width="9.125" style="59" customWidth="1"/>
  </cols>
  <sheetData>
    <row r="1" spans="1:6" s="63" customFormat="1" ht="23.25" customHeight="1">
      <c r="A1" s="185" t="s">
        <v>29</v>
      </c>
      <c r="B1" s="185"/>
      <c r="C1" s="185"/>
      <c r="D1" s="185"/>
      <c r="E1" s="185"/>
      <c r="F1" s="185"/>
    </row>
    <row r="2" spans="1:6" s="64" customFormat="1" ht="23.25">
      <c r="A2" s="186" t="s">
        <v>58</v>
      </c>
      <c r="B2" s="186"/>
      <c r="C2" s="186"/>
      <c r="D2" s="188"/>
      <c r="E2" s="188"/>
      <c r="F2" s="188"/>
    </row>
    <row r="3" spans="1:6" ht="18.75" thickBot="1">
      <c r="A3" s="3"/>
      <c r="B3" s="3"/>
      <c r="C3" s="3"/>
      <c r="D3" s="3"/>
      <c r="E3" s="3"/>
      <c r="F3" s="56" t="s">
        <v>28</v>
      </c>
    </row>
    <row r="4" spans="1:6" s="66" customFormat="1" ht="29.25" customHeight="1" thickBot="1">
      <c r="A4" s="38" t="s">
        <v>30</v>
      </c>
      <c r="B4" s="53"/>
      <c r="C4" s="42" t="s">
        <v>0</v>
      </c>
      <c r="D4" s="42" t="s">
        <v>1</v>
      </c>
      <c r="E4" s="42" t="s">
        <v>2</v>
      </c>
      <c r="F4" s="43" t="s">
        <v>3</v>
      </c>
    </row>
    <row r="5" spans="1:6" s="4" customFormat="1" ht="29.25" customHeight="1">
      <c r="A5" s="78" t="s">
        <v>35</v>
      </c>
      <c r="B5" s="44">
        <f aca="true" t="shared" si="0" ref="B5:B53">C5+D5+E5+F5</f>
        <v>73021.193</v>
      </c>
      <c r="C5" s="74">
        <f>C6+C7</f>
        <v>29197.15</v>
      </c>
      <c r="D5" s="74">
        <f>D6+D7</f>
        <v>1292.982</v>
      </c>
      <c r="E5" s="74">
        <f>E6+E7</f>
        <v>19389.81</v>
      </c>
      <c r="F5" s="75">
        <f>F6+F7</f>
        <v>23141.251</v>
      </c>
    </row>
    <row r="6" spans="1:6" s="4" customFormat="1" ht="24.75" customHeight="1">
      <c r="A6" s="100" t="s">
        <v>47</v>
      </c>
      <c r="B6" s="8">
        <f t="shared" si="0"/>
        <v>56814.119999999995</v>
      </c>
      <c r="C6" s="8">
        <f>29197.15-C7</f>
        <v>29162.833000000002</v>
      </c>
      <c r="D6" s="8">
        <f>1292.982-D7</f>
        <v>1291.642</v>
      </c>
      <c r="E6" s="8">
        <f>19389.81-E7</f>
        <v>18511.419</v>
      </c>
      <c r="F6" s="9">
        <f>23141.251-F7</f>
        <v>7848.225999999999</v>
      </c>
    </row>
    <row r="7" spans="1:6" s="4" customFormat="1" ht="19.5" customHeight="1">
      <c r="A7" s="79" t="s">
        <v>10</v>
      </c>
      <c r="B7" s="8">
        <f t="shared" si="0"/>
        <v>16207.073000000002</v>
      </c>
      <c r="C7" s="17">
        <f>C8+C9</f>
        <v>34.317</v>
      </c>
      <c r="D7" s="17">
        <f>D8+D9</f>
        <v>1.34</v>
      </c>
      <c r="E7" s="17">
        <f>E8+E9</f>
        <v>878.3910000000001</v>
      </c>
      <c r="F7" s="18">
        <f>F8+F9</f>
        <v>15293.025000000001</v>
      </c>
    </row>
    <row r="8" spans="1:6" s="4" customFormat="1" ht="26.25" customHeight="1">
      <c r="A8" s="79" t="s">
        <v>11</v>
      </c>
      <c r="B8" s="8">
        <f t="shared" si="0"/>
        <v>4666.574</v>
      </c>
      <c r="C8" s="70">
        <v>13.83</v>
      </c>
      <c r="D8" s="70"/>
      <c r="E8" s="70">
        <v>193.517</v>
      </c>
      <c r="F8" s="71">
        <v>4459.227</v>
      </c>
    </row>
    <row r="9" spans="1:6" s="4" customFormat="1" ht="21.75" customHeight="1">
      <c r="A9" s="79" t="s">
        <v>12</v>
      </c>
      <c r="B9" s="8">
        <f t="shared" si="0"/>
        <v>11540.499</v>
      </c>
      <c r="C9" s="70">
        <v>20.487</v>
      </c>
      <c r="D9" s="70">
        <v>1.34</v>
      </c>
      <c r="E9" s="70">
        <v>684.874</v>
      </c>
      <c r="F9" s="71">
        <v>10833.798</v>
      </c>
    </row>
    <row r="10" spans="1:6" s="4" customFormat="1" ht="19.5" customHeight="1">
      <c r="A10" s="80" t="s">
        <v>36</v>
      </c>
      <c r="B10" s="8">
        <f t="shared" si="0"/>
        <v>5384.404</v>
      </c>
      <c r="C10" s="17">
        <f>C11+C12</f>
        <v>742.97</v>
      </c>
      <c r="D10" s="17"/>
      <c r="E10" s="17">
        <f>E11+E12</f>
        <v>1927.3680000000002</v>
      </c>
      <c r="F10" s="18">
        <f>F11+F12</f>
        <v>2714.0660000000003</v>
      </c>
    </row>
    <row r="11" spans="1:6" s="4" customFormat="1" ht="18" customHeight="1">
      <c r="A11" s="79" t="s">
        <v>13</v>
      </c>
      <c r="B11" s="8">
        <f t="shared" si="0"/>
        <v>3196.462</v>
      </c>
      <c r="C11" s="8">
        <v>672.41</v>
      </c>
      <c r="D11" s="8"/>
      <c r="E11" s="8">
        <v>1603.534</v>
      </c>
      <c r="F11" s="9">
        <v>920.518</v>
      </c>
    </row>
    <row r="12" spans="1:6" s="4" customFormat="1" ht="19.5" customHeight="1">
      <c r="A12" s="79" t="s">
        <v>10</v>
      </c>
      <c r="B12" s="8">
        <f t="shared" si="0"/>
        <v>2187.942</v>
      </c>
      <c r="C12" s="17">
        <f>C13+C14</f>
        <v>70.56</v>
      </c>
      <c r="D12" s="8"/>
      <c r="E12" s="17">
        <f>E13+E14</f>
        <v>323.834</v>
      </c>
      <c r="F12" s="18">
        <f>F13+F14</f>
        <v>1793.5480000000002</v>
      </c>
    </row>
    <row r="13" spans="1:6" s="4" customFormat="1" ht="19.5" customHeight="1">
      <c r="A13" s="79" t="s">
        <v>11</v>
      </c>
      <c r="B13" s="8">
        <f t="shared" si="0"/>
        <v>1322.8200000000002</v>
      </c>
      <c r="C13" s="70"/>
      <c r="D13" s="70"/>
      <c r="E13" s="70">
        <v>77.632</v>
      </c>
      <c r="F13" s="71">
        <v>1245.188</v>
      </c>
    </row>
    <row r="14" spans="1:6" s="4" customFormat="1" ht="21" customHeight="1">
      <c r="A14" s="79" t="s">
        <v>12</v>
      </c>
      <c r="B14" s="8">
        <f t="shared" si="0"/>
        <v>865.1220000000001</v>
      </c>
      <c r="C14" s="70">
        <v>70.56</v>
      </c>
      <c r="D14" s="70"/>
      <c r="E14" s="70">
        <v>246.202</v>
      </c>
      <c r="F14" s="71">
        <v>548.36</v>
      </c>
    </row>
    <row r="15" spans="1:6" s="4" customFormat="1" ht="21.75" customHeight="1">
      <c r="A15" s="80" t="s">
        <v>6</v>
      </c>
      <c r="B15" s="8">
        <f t="shared" si="0"/>
        <v>1007.313</v>
      </c>
      <c r="C15" s="17">
        <f>C16+C17</f>
        <v>1007.313</v>
      </c>
      <c r="D15" s="8"/>
      <c r="E15" s="8"/>
      <c r="F15" s="9"/>
    </row>
    <row r="16" spans="1:6" s="4" customFormat="1" ht="21" customHeight="1">
      <c r="A16" s="79" t="s">
        <v>13</v>
      </c>
      <c r="B16" s="8">
        <f t="shared" si="0"/>
        <v>1007.005</v>
      </c>
      <c r="C16" s="8">
        <v>1007.005</v>
      </c>
      <c r="D16" s="8"/>
      <c r="E16" s="17"/>
      <c r="F16" s="18"/>
    </row>
    <row r="17" spans="1:6" s="4" customFormat="1" ht="21.75" customHeight="1">
      <c r="A17" s="79" t="s">
        <v>10</v>
      </c>
      <c r="B17" s="8">
        <f t="shared" si="0"/>
        <v>0.308</v>
      </c>
      <c r="C17" s="17">
        <f>C18+C19</f>
        <v>0.308</v>
      </c>
      <c r="D17" s="8"/>
      <c r="E17" s="17"/>
      <c r="F17" s="18"/>
    </row>
    <row r="18" spans="1:6" s="4" customFormat="1" ht="21" customHeight="1">
      <c r="A18" s="79" t="s">
        <v>11</v>
      </c>
      <c r="B18" s="8">
        <f t="shared" si="0"/>
        <v>0.308</v>
      </c>
      <c r="C18" s="70">
        <v>0.308</v>
      </c>
      <c r="D18" s="70"/>
      <c r="E18" s="70"/>
      <c r="F18" s="71"/>
    </row>
    <row r="19" spans="1:6" s="4" customFormat="1" ht="22.5" customHeight="1">
      <c r="A19" s="79" t="s">
        <v>12</v>
      </c>
      <c r="B19" s="8">
        <f t="shared" si="0"/>
        <v>0</v>
      </c>
      <c r="C19" s="70"/>
      <c r="D19" s="70"/>
      <c r="E19" s="70"/>
      <c r="F19" s="71"/>
    </row>
    <row r="20" spans="1:6" s="4" customFormat="1" ht="34.5" customHeight="1">
      <c r="A20" s="80" t="s">
        <v>37</v>
      </c>
      <c r="B20" s="8">
        <f t="shared" si="0"/>
        <v>2412.359</v>
      </c>
      <c r="C20" s="17">
        <f>C21+C22</f>
        <v>2164.455</v>
      </c>
      <c r="D20" s="17">
        <f>D21+D22</f>
        <v>59.221</v>
      </c>
      <c r="E20" s="17">
        <f>E21+E22</f>
        <v>99.301</v>
      </c>
      <c r="F20" s="18">
        <f>F21+F22</f>
        <v>89.382</v>
      </c>
    </row>
    <row r="21" spans="1:6" s="4" customFormat="1" ht="24.75" customHeight="1">
      <c r="A21" s="79" t="s">
        <v>13</v>
      </c>
      <c r="B21" s="8">
        <f t="shared" si="0"/>
        <v>2392.935</v>
      </c>
      <c r="C21" s="17">
        <v>2164.455</v>
      </c>
      <c r="D21" s="17">
        <v>59.221</v>
      </c>
      <c r="E21" s="17">
        <v>99.301</v>
      </c>
      <c r="F21" s="18">
        <v>69.958</v>
      </c>
    </row>
    <row r="22" spans="1:6" s="4" customFormat="1" ht="25.5" customHeight="1">
      <c r="A22" s="79" t="s">
        <v>10</v>
      </c>
      <c r="B22" s="8">
        <f t="shared" si="0"/>
        <v>19.424</v>
      </c>
      <c r="C22" s="17"/>
      <c r="D22" s="17"/>
      <c r="E22" s="17">
        <f>E23+E24</f>
        <v>0</v>
      </c>
      <c r="F22" s="18">
        <f>F23+F24</f>
        <v>19.424</v>
      </c>
    </row>
    <row r="23" spans="1:6" s="4" customFormat="1" ht="20.25" customHeight="1">
      <c r="A23" s="79" t="s">
        <v>11</v>
      </c>
      <c r="B23" s="8">
        <f t="shared" si="0"/>
        <v>19.424</v>
      </c>
      <c r="C23" s="11"/>
      <c r="D23" s="11"/>
      <c r="E23" s="11"/>
      <c r="F23" s="12">
        <v>19.424</v>
      </c>
    </row>
    <row r="24" spans="1:6" s="4" customFormat="1" ht="25.5" customHeight="1">
      <c r="A24" s="79" t="s">
        <v>12</v>
      </c>
      <c r="B24" s="8">
        <f t="shared" si="0"/>
        <v>0</v>
      </c>
      <c r="C24" s="11"/>
      <c r="D24" s="11"/>
      <c r="E24" s="11"/>
      <c r="F24" s="12"/>
    </row>
    <row r="25" spans="1:6" s="4" customFormat="1" ht="22.5" customHeight="1">
      <c r="A25" s="80" t="s">
        <v>7</v>
      </c>
      <c r="B25" s="8">
        <f t="shared" si="0"/>
        <v>11304.393</v>
      </c>
      <c r="C25" s="17">
        <f>C26+C27</f>
        <v>6172.489</v>
      </c>
      <c r="D25" s="17"/>
      <c r="E25" s="17">
        <f>E26+E27</f>
        <v>1753.445</v>
      </c>
      <c r="F25" s="18">
        <f>F26+F27</f>
        <v>3378.459</v>
      </c>
    </row>
    <row r="26" spans="1:6" s="4" customFormat="1" ht="24.75" customHeight="1">
      <c r="A26" s="79" t="s">
        <v>13</v>
      </c>
      <c r="B26" s="8">
        <f t="shared" si="0"/>
        <v>8801.461</v>
      </c>
      <c r="C26" s="8">
        <f>6172.489</f>
        <v>6172.489</v>
      </c>
      <c r="D26" s="8"/>
      <c r="E26" s="17">
        <v>1695.414</v>
      </c>
      <c r="F26" s="18">
        <v>933.558</v>
      </c>
    </row>
    <row r="27" spans="1:6" s="4" customFormat="1" ht="23.25" customHeight="1">
      <c r="A27" s="79" t="s">
        <v>10</v>
      </c>
      <c r="B27" s="8">
        <f t="shared" si="0"/>
        <v>2502.932</v>
      </c>
      <c r="C27" s="8"/>
      <c r="D27" s="8"/>
      <c r="E27" s="17">
        <f>E28+E29</f>
        <v>58.031</v>
      </c>
      <c r="F27" s="18">
        <f>F28+F29</f>
        <v>2444.901</v>
      </c>
    </row>
    <row r="28" spans="1:6" s="4" customFormat="1" ht="23.25" customHeight="1">
      <c r="A28" s="79" t="s">
        <v>11</v>
      </c>
      <c r="B28" s="8">
        <f t="shared" si="0"/>
        <v>2382.9339999999997</v>
      </c>
      <c r="C28" s="70"/>
      <c r="D28" s="70"/>
      <c r="E28" s="70">
        <v>58.031</v>
      </c>
      <c r="F28" s="71">
        <v>2324.903</v>
      </c>
    </row>
    <row r="29" spans="1:6" s="4" customFormat="1" ht="23.25" customHeight="1">
      <c r="A29" s="79" t="s">
        <v>12</v>
      </c>
      <c r="B29" s="8">
        <f t="shared" si="0"/>
        <v>119.99799999999999</v>
      </c>
      <c r="C29" s="70"/>
      <c r="D29" s="70"/>
      <c r="E29" s="70"/>
      <c r="F29" s="71">
        <f>28.966+91.032</f>
        <v>119.99799999999999</v>
      </c>
    </row>
    <row r="30" spans="1:6" s="4" customFormat="1" ht="23.25" customHeight="1">
      <c r="A30" s="80" t="s">
        <v>38</v>
      </c>
      <c r="B30" s="8">
        <f t="shared" si="0"/>
        <v>85.228</v>
      </c>
      <c r="C30" s="17"/>
      <c r="D30" s="17"/>
      <c r="E30" s="17">
        <f>E31+E32</f>
        <v>45.178</v>
      </c>
      <c r="F30" s="18">
        <f>F31+F32</f>
        <v>40.05</v>
      </c>
    </row>
    <row r="31" spans="1:6" s="4" customFormat="1" ht="23.25" customHeight="1">
      <c r="A31" s="79" t="s">
        <v>13</v>
      </c>
      <c r="B31" s="8">
        <f t="shared" si="0"/>
        <v>62.346</v>
      </c>
      <c r="C31" s="8"/>
      <c r="D31" s="8"/>
      <c r="E31" s="17">
        <v>45.178</v>
      </c>
      <c r="F31" s="18">
        <v>17.168</v>
      </c>
    </row>
    <row r="32" spans="1:6" s="4" customFormat="1" ht="19.5" customHeight="1">
      <c r="A32" s="79" t="s">
        <v>10</v>
      </c>
      <c r="B32" s="8">
        <f t="shared" si="0"/>
        <v>22.881999999999998</v>
      </c>
      <c r="C32" s="8"/>
      <c r="D32" s="8"/>
      <c r="E32" s="17">
        <f>E33+E34</f>
        <v>0</v>
      </c>
      <c r="F32" s="18">
        <f>F33+F34</f>
        <v>22.881999999999998</v>
      </c>
    </row>
    <row r="33" spans="1:6" s="4" customFormat="1" ht="19.5" customHeight="1">
      <c r="A33" s="79" t="s">
        <v>11</v>
      </c>
      <c r="B33" s="8">
        <f t="shared" si="0"/>
        <v>17.961</v>
      </c>
      <c r="C33" s="70"/>
      <c r="D33" s="70"/>
      <c r="E33" s="70"/>
      <c r="F33" s="71">
        <v>17.961</v>
      </c>
    </row>
    <row r="34" spans="1:6" s="4" customFormat="1" ht="19.5" customHeight="1">
      <c r="A34" s="79" t="s">
        <v>12</v>
      </c>
      <c r="B34" s="8">
        <f t="shared" si="0"/>
        <v>4.921</v>
      </c>
      <c r="C34" s="70"/>
      <c r="D34" s="70"/>
      <c r="E34" s="70"/>
      <c r="F34" s="71">
        <v>4.921</v>
      </c>
    </row>
    <row r="35" spans="1:6" s="4" customFormat="1" ht="19.5" customHeight="1">
      <c r="A35" s="39" t="s">
        <v>39</v>
      </c>
      <c r="B35" s="8">
        <f t="shared" si="0"/>
        <v>117.56400000000001</v>
      </c>
      <c r="C35" s="17">
        <f>C36+C37</f>
        <v>0</v>
      </c>
      <c r="D35" s="72"/>
      <c r="E35" s="17">
        <f>E36+E37</f>
        <v>0</v>
      </c>
      <c r="F35" s="18">
        <f>F36+F37</f>
        <v>117.56400000000001</v>
      </c>
    </row>
    <row r="36" spans="1:6" s="4" customFormat="1" ht="24.75" customHeight="1">
      <c r="A36" s="79" t="s">
        <v>13</v>
      </c>
      <c r="B36" s="8">
        <f t="shared" si="0"/>
        <v>105.834</v>
      </c>
      <c r="C36" s="8"/>
      <c r="D36" s="8"/>
      <c r="E36" s="8"/>
      <c r="F36" s="9">
        <v>105.834</v>
      </c>
    </row>
    <row r="37" spans="1:6" s="4" customFormat="1" ht="24.75" customHeight="1">
      <c r="A37" s="79" t="s">
        <v>10</v>
      </c>
      <c r="B37" s="8">
        <f t="shared" si="0"/>
        <v>11.73</v>
      </c>
      <c r="C37" s="17">
        <f>C38+C39</f>
        <v>0</v>
      </c>
      <c r="D37" s="8"/>
      <c r="E37" s="17"/>
      <c r="F37" s="18">
        <f>F38+F39</f>
        <v>11.73</v>
      </c>
    </row>
    <row r="38" spans="1:6" s="4" customFormat="1" ht="24.75" customHeight="1">
      <c r="A38" s="79" t="s">
        <v>11</v>
      </c>
      <c r="B38" s="8">
        <f t="shared" si="0"/>
        <v>0</v>
      </c>
      <c r="C38" s="72"/>
      <c r="D38" s="72"/>
      <c r="E38" s="72"/>
      <c r="F38" s="12"/>
    </row>
    <row r="39" spans="1:6" s="4" customFormat="1" ht="24.75" customHeight="1">
      <c r="A39" s="79" t="s">
        <v>12</v>
      </c>
      <c r="B39" s="8">
        <f t="shared" si="0"/>
        <v>11.73</v>
      </c>
      <c r="C39" s="72"/>
      <c r="D39" s="72"/>
      <c r="E39" s="72"/>
      <c r="F39" s="18">
        <v>11.73</v>
      </c>
    </row>
    <row r="40" spans="1:6" s="4" customFormat="1" ht="21" customHeight="1">
      <c r="A40" s="80" t="s">
        <v>24</v>
      </c>
      <c r="B40" s="8">
        <f t="shared" si="0"/>
        <v>0</v>
      </c>
      <c r="C40" s="72">
        <f>C41+C42</f>
        <v>0</v>
      </c>
      <c r="D40" s="72"/>
      <c r="E40" s="72">
        <f>E41+E42</f>
        <v>0</v>
      </c>
      <c r="F40" s="18"/>
    </row>
    <row r="41" spans="1:6" s="4" customFormat="1" ht="21" customHeight="1">
      <c r="A41" s="79" t="s">
        <v>13</v>
      </c>
      <c r="B41" s="8">
        <f t="shared" si="0"/>
        <v>0</v>
      </c>
      <c r="C41" s="8"/>
      <c r="D41" s="8"/>
      <c r="E41" s="8"/>
      <c r="F41" s="9"/>
    </row>
    <row r="42" spans="1:6" s="4" customFormat="1" ht="21" customHeight="1">
      <c r="A42" s="79" t="s">
        <v>10</v>
      </c>
      <c r="B42" s="8">
        <f t="shared" si="0"/>
        <v>0</v>
      </c>
      <c r="C42" s="8"/>
      <c r="D42" s="8"/>
      <c r="E42" s="17">
        <f>E43+E44</f>
        <v>0</v>
      </c>
      <c r="F42" s="18">
        <f>F43+F44</f>
        <v>0</v>
      </c>
    </row>
    <row r="43" spans="1:6" s="4" customFormat="1" ht="21" customHeight="1">
      <c r="A43" s="79" t="s">
        <v>11</v>
      </c>
      <c r="B43" s="8">
        <f t="shared" si="0"/>
        <v>0</v>
      </c>
      <c r="C43" s="72"/>
      <c r="D43" s="72"/>
      <c r="E43" s="72"/>
      <c r="F43" s="12"/>
    </row>
    <row r="44" spans="1:6" s="4" customFormat="1" ht="21" customHeight="1">
      <c r="A44" s="79" t="s">
        <v>12</v>
      </c>
      <c r="B44" s="8">
        <f t="shared" si="0"/>
        <v>0</v>
      </c>
      <c r="C44" s="72"/>
      <c r="D44" s="72"/>
      <c r="E44" s="72"/>
      <c r="F44" s="12"/>
    </row>
    <row r="45" spans="1:6" s="4" customFormat="1" ht="21" customHeight="1">
      <c r="A45" s="81" t="s">
        <v>26</v>
      </c>
      <c r="B45" s="8">
        <f t="shared" si="0"/>
        <v>483.424</v>
      </c>
      <c r="C45" s="10"/>
      <c r="D45" s="8"/>
      <c r="E45" s="17">
        <f>E46+E47</f>
        <v>364.981</v>
      </c>
      <c r="F45" s="18">
        <f>F46+F47</f>
        <v>118.443</v>
      </c>
    </row>
    <row r="46" spans="1:6" s="4" customFormat="1" ht="21" customHeight="1">
      <c r="A46" s="79" t="s">
        <v>13</v>
      </c>
      <c r="B46" s="8">
        <f t="shared" si="0"/>
        <v>483.424</v>
      </c>
      <c r="C46" s="8"/>
      <c r="D46" s="8"/>
      <c r="E46" s="17">
        <v>364.981</v>
      </c>
      <c r="F46" s="18">
        <v>118.443</v>
      </c>
    </row>
    <row r="47" spans="1:6" s="4" customFormat="1" ht="21" customHeight="1">
      <c r="A47" s="79" t="s">
        <v>10</v>
      </c>
      <c r="B47" s="8">
        <f t="shared" si="0"/>
        <v>0</v>
      </c>
      <c r="C47" s="8"/>
      <c r="D47" s="8"/>
      <c r="E47" s="17">
        <f>E48+E49</f>
        <v>0</v>
      </c>
      <c r="F47" s="18">
        <f>F48+F49</f>
        <v>0</v>
      </c>
    </row>
    <row r="48" spans="1:6" s="4" customFormat="1" ht="21" customHeight="1">
      <c r="A48" s="79" t="s">
        <v>11</v>
      </c>
      <c r="B48" s="8">
        <f t="shared" si="0"/>
        <v>0</v>
      </c>
      <c r="C48" s="10"/>
      <c r="D48" s="8"/>
      <c r="E48" s="10"/>
      <c r="F48" s="14"/>
    </row>
    <row r="49" spans="1:6" s="4" customFormat="1" ht="21" customHeight="1">
      <c r="A49" s="79" t="s">
        <v>12</v>
      </c>
      <c r="B49" s="8">
        <f t="shared" si="0"/>
        <v>0</v>
      </c>
      <c r="C49" s="10"/>
      <c r="D49" s="8"/>
      <c r="E49" s="10"/>
      <c r="F49" s="14"/>
    </row>
    <row r="50" spans="1:6" s="4" customFormat="1" ht="21" customHeight="1">
      <c r="A50" s="81" t="s">
        <v>4</v>
      </c>
      <c r="B50" s="8">
        <f t="shared" si="0"/>
        <v>765.405</v>
      </c>
      <c r="C50" s="8">
        <f>C51+C52</f>
        <v>765.405</v>
      </c>
      <c r="D50" s="8"/>
      <c r="E50" s="8"/>
      <c r="F50" s="9"/>
    </row>
    <row r="51" spans="1:6" s="4" customFormat="1" ht="21" customHeight="1">
      <c r="A51" s="79" t="s">
        <v>13</v>
      </c>
      <c r="B51" s="8">
        <f t="shared" si="0"/>
        <v>765.405</v>
      </c>
      <c r="C51" s="17">
        <f>765.405</f>
        <v>765.405</v>
      </c>
      <c r="D51" s="8"/>
      <c r="E51" s="17">
        <f>E50-E52</f>
        <v>0</v>
      </c>
      <c r="F51" s="18">
        <f>F50-F52</f>
        <v>0</v>
      </c>
    </row>
    <row r="52" spans="1:6" s="4" customFormat="1" ht="21" customHeight="1">
      <c r="A52" s="79" t="s">
        <v>10</v>
      </c>
      <c r="B52" s="8">
        <f t="shared" si="0"/>
        <v>0</v>
      </c>
      <c r="C52" s="17">
        <f>C53+C54</f>
        <v>0</v>
      </c>
      <c r="D52" s="8"/>
      <c r="E52" s="17">
        <f>E53+E54</f>
        <v>0</v>
      </c>
      <c r="F52" s="18">
        <f>F53+F54</f>
        <v>0</v>
      </c>
    </row>
    <row r="53" spans="1:6" s="4" customFormat="1" ht="21" customHeight="1">
      <c r="A53" s="79" t="s">
        <v>11</v>
      </c>
      <c r="B53" s="8">
        <f t="shared" si="0"/>
        <v>0</v>
      </c>
      <c r="C53" s="70"/>
      <c r="D53" s="8"/>
      <c r="E53" s="8"/>
      <c r="F53" s="9"/>
    </row>
    <row r="54" spans="1:6" s="4" customFormat="1" ht="21" customHeight="1">
      <c r="A54" s="79" t="s">
        <v>12</v>
      </c>
      <c r="B54" s="8">
        <f aca="true" t="shared" si="1" ref="B54:B113">C54+D54+E54+F54</f>
        <v>0</v>
      </c>
      <c r="C54" s="70"/>
      <c r="D54" s="8"/>
      <c r="E54" s="8"/>
      <c r="F54" s="9"/>
    </row>
    <row r="55" spans="1:6" s="7" customFormat="1" ht="57" customHeight="1">
      <c r="A55" s="80" t="s">
        <v>40</v>
      </c>
      <c r="B55" s="8">
        <f t="shared" si="1"/>
        <v>1687.394</v>
      </c>
      <c r="C55" s="17">
        <f>C56+C57</f>
        <v>998.232</v>
      </c>
      <c r="D55" s="17">
        <f>D56+D57</f>
        <v>0</v>
      </c>
      <c r="E55" s="17">
        <f>E56+E57</f>
        <v>257.18</v>
      </c>
      <c r="F55" s="18">
        <f>F56+F57</f>
        <v>431.98199999999997</v>
      </c>
    </row>
    <row r="56" spans="1:6" s="176" customFormat="1" ht="21" customHeight="1">
      <c r="A56" s="79" t="s">
        <v>13</v>
      </c>
      <c r="B56" s="8">
        <f t="shared" si="1"/>
        <v>1378.801</v>
      </c>
      <c r="C56" s="17">
        <v>998.232</v>
      </c>
      <c r="D56" s="17">
        <v>0</v>
      </c>
      <c r="E56" s="17">
        <v>257.18</v>
      </c>
      <c r="F56" s="18">
        <v>123.389</v>
      </c>
    </row>
    <row r="57" spans="1:6" s="176" customFormat="1" ht="21" customHeight="1">
      <c r="A57" s="79" t="s">
        <v>10</v>
      </c>
      <c r="B57" s="8">
        <f t="shared" si="1"/>
        <v>308.59299999999996</v>
      </c>
      <c r="C57" s="17">
        <f>C58+C59</f>
        <v>0</v>
      </c>
      <c r="D57" s="17">
        <f>D58+D59</f>
        <v>0</v>
      </c>
      <c r="E57" s="17">
        <f>E58+E59</f>
        <v>0</v>
      </c>
      <c r="F57" s="18">
        <f>F58+F59</f>
        <v>308.59299999999996</v>
      </c>
    </row>
    <row r="58" spans="1:6" s="177" customFormat="1" ht="21" customHeight="1">
      <c r="A58" s="79" t="s">
        <v>11</v>
      </c>
      <c r="B58" s="8">
        <f t="shared" si="1"/>
        <v>282.145</v>
      </c>
      <c r="C58" s="70"/>
      <c r="D58" s="8"/>
      <c r="E58" s="8"/>
      <c r="F58" s="9">
        <v>282.145</v>
      </c>
    </row>
    <row r="59" spans="1:6" s="177" customFormat="1" ht="21" customHeight="1">
      <c r="A59" s="79" t="s">
        <v>12</v>
      </c>
      <c r="B59" s="8">
        <f t="shared" si="1"/>
        <v>26.448</v>
      </c>
      <c r="C59" s="70"/>
      <c r="D59" s="8"/>
      <c r="E59" s="8"/>
      <c r="F59" s="9">
        <v>26.448</v>
      </c>
    </row>
    <row r="60" spans="1:6" s="177" customFormat="1" ht="21" customHeight="1">
      <c r="A60" s="80" t="s">
        <v>25</v>
      </c>
      <c r="B60" s="8">
        <f t="shared" si="1"/>
        <v>2141.756</v>
      </c>
      <c r="C60" s="17">
        <f>C61+C62</f>
        <v>2131.116</v>
      </c>
      <c r="D60" s="17">
        <f>D61+D62</f>
        <v>0</v>
      </c>
      <c r="E60" s="17">
        <f>E61+E62</f>
        <v>0</v>
      </c>
      <c r="F60" s="18">
        <f>F61+F62</f>
        <v>10.64</v>
      </c>
    </row>
    <row r="61" spans="1:6" s="177" customFormat="1" ht="21" customHeight="1">
      <c r="A61" s="79" t="s">
        <v>13</v>
      </c>
      <c r="B61" s="8">
        <f t="shared" si="1"/>
        <v>2141.756</v>
      </c>
      <c r="C61" s="82">
        <f>2131.116</f>
        <v>2131.116</v>
      </c>
      <c r="D61" s="82"/>
      <c r="E61" s="82"/>
      <c r="F61" s="83">
        <v>10.64</v>
      </c>
    </row>
    <row r="62" spans="1:6" s="177" customFormat="1" ht="21" customHeight="1">
      <c r="A62" s="79" t="s">
        <v>10</v>
      </c>
      <c r="B62" s="8">
        <f t="shared" si="1"/>
        <v>0</v>
      </c>
      <c r="C62" s="17">
        <f>C63+C64</f>
        <v>0</v>
      </c>
      <c r="D62" s="8"/>
      <c r="E62" s="17">
        <f>E63+E64</f>
        <v>0</v>
      </c>
      <c r="F62" s="18">
        <f>F63+F64</f>
        <v>0</v>
      </c>
    </row>
    <row r="63" spans="1:6" s="177" customFormat="1" ht="21" customHeight="1">
      <c r="A63" s="79" t="s">
        <v>11</v>
      </c>
      <c r="B63" s="8">
        <f t="shared" si="1"/>
        <v>0</v>
      </c>
      <c r="C63" s="70"/>
      <c r="D63" s="8"/>
      <c r="E63" s="8"/>
      <c r="F63" s="9"/>
    </row>
    <row r="64" spans="1:6" s="177" customFormat="1" ht="21" customHeight="1">
      <c r="A64" s="79" t="s">
        <v>12</v>
      </c>
      <c r="B64" s="8">
        <f t="shared" si="1"/>
        <v>0</v>
      </c>
      <c r="C64" s="70"/>
      <c r="D64" s="8"/>
      <c r="E64" s="8"/>
      <c r="F64" s="9"/>
    </row>
    <row r="65" spans="1:6" s="176" customFormat="1" ht="21" customHeight="1">
      <c r="A65" s="80" t="s">
        <v>41</v>
      </c>
      <c r="B65" s="8">
        <f t="shared" si="1"/>
        <v>16.462</v>
      </c>
      <c r="C65" s="8">
        <f>C66+C67</f>
        <v>0</v>
      </c>
      <c r="D65" s="8"/>
      <c r="E65" s="8">
        <f>E66+E67</f>
        <v>16.462</v>
      </c>
      <c r="F65" s="9">
        <f>F66+F67</f>
        <v>0</v>
      </c>
    </row>
    <row r="66" spans="1:6" s="176" customFormat="1" ht="21" customHeight="1">
      <c r="A66" s="79" t="s">
        <v>13</v>
      </c>
      <c r="B66" s="8">
        <f t="shared" si="1"/>
        <v>16.462</v>
      </c>
      <c r="C66" s="82"/>
      <c r="D66" s="82"/>
      <c r="E66" s="82">
        <v>16.462</v>
      </c>
      <c r="F66" s="83"/>
    </row>
    <row r="67" spans="1:6" s="176" customFormat="1" ht="21" customHeight="1">
      <c r="A67" s="79" t="s">
        <v>10</v>
      </c>
      <c r="B67" s="8">
        <f t="shared" si="1"/>
        <v>0</v>
      </c>
      <c r="C67" s="70"/>
      <c r="D67" s="8"/>
      <c r="E67" s="8">
        <f>E69+E68</f>
        <v>0</v>
      </c>
      <c r="F67" s="9">
        <f>F69+F68</f>
        <v>0</v>
      </c>
    </row>
    <row r="68" spans="1:6" s="176" customFormat="1" ht="21" customHeight="1">
      <c r="A68" s="79" t="s">
        <v>11</v>
      </c>
      <c r="B68" s="8">
        <f t="shared" si="1"/>
        <v>0</v>
      </c>
      <c r="C68" s="70"/>
      <c r="D68" s="8"/>
      <c r="E68" s="10"/>
      <c r="F68" s="14"/>
    </row>
    <row r="69" spans="1:6" s="176" customFormat="1" ht="21" customHeight="1">
      <c r="A69" s="79" t="s">
        <v>12</v>
      </c>
      <c r="B69" s="8">
        <f t="shared" si="1"/>
        <v>0</v>
      </c>
      <c r="C69" s="70"/>
      <c r="D69" s="8"/>
      <c r="E69" s="10"/>
      <c r="F69" s="14"/>
    </row>
    <row r="70" spans="1:6" s="176" customFormat="1" ht="21" customHeight="1">
      <c r="A70" s="80" t="s">
        <v>23</v>
      </c>
      <c r="B70" s="8">
        <f t="shared" si="1"/>
        <v>102.71000000000001</v>
      </c>
      <c r="C70" s="70"/>
      <c r="D70" s="8"/>
      <c r="E70" s="8">
        <f>E71+E72</f>
        <v>0</v>
      </c>
      <c r="F70" s="9">
        <f>F71+F72</f>
        <v>102.71000000000001</v>
      </c>
    </row>
    <row r="71" spans="1:6" s="176" customFormat="1" ht="21" customHeight="1">
      <c r="A71" s="79" t="s">
        <v>13</v>
      </c>
      <c r="B71" s="8">
        <f t="shared" si="1"/>
        <v>9.308</v>
      </c>
      <c r="C71" s="70"/>
      <c r="D71" s="8"/>
      <c r="E71" s="8"/>
      <c r="F71" s="84">
        <v>9.308</v>
      </c>
    </row>
    <row r="72" spans="1:6" s="176" customFormat="1" ht="21" customHeight="1">
      <c r="A72" s="79" t="s">
        <v>10</v>
      </c>
      <c r="B72" s="8">
        <f t="shared" si="1"/>
        <v>93.402</v>
      </c>
      <c r="C72" s="70"/>
      <c r="D72" s="8"/>
      <c r="E72" s="8">
        <f>E74+E73</f>
        <v>0</v>
      </c>
      <c r="F72" s="9">
        <f>F74+F73</f>
        <v>93.402</v>
      </c>
    </row>
    <row r="73" spans="1:6" s="176" customFormat="1" ht="21" customHeight="1">
      <c r="A73" s="79" t="s">
        <v>11</v>
      </c>
      <c r="B73" s="8">
        <f t="shared" si="1"/>
        <v>93.402</v>
      </c>
      <c r="C73" s="70"/>
      <c r="D73" s="8"/>
      <c r="E73" s="10"/>
      <c r="F73" s="14">
        <v>93.402</v>
      </c>
    </row>
    <row r="74" spans="1:6" s="176" customFormat="1" ht="21" customHeight="1">
      <c r="A74" s="79" t="s">
        <v>12</v>
      </c>
      <c r="B74" s="8">
        <f t="shared" si="1"/>
        <v>0</v>
      </c>
      <c r="C74" s="70"/>
      <c r="D74" s="8"/>
      <c r="E74" s="10"/>
      <c r="F74" s="14"/>
    </row>
    <row r="75" spans="1:6" s="176" customFormat="1" ht="36" customHeight="1">
      <c r="A75" s="80" t="s">
        <v>42</v>
      </c>
      <c r="B75" s="8">
        <f t="shared" si="1"/>
        <v>251.838</v>
      </c>
      <c r="C75" s="70"/>
      <c r="D75" s="8"/>
      <c r="E75" s="8">
        <f>E76+E77</f>
        <v>16.815</v>
      </c>
      <c r="F75" s="9">
        <f>F76+F77</f>
        <v>235.023</v>
      </c>
    </row>
    <row r="76" spans="1:6" s="176" customFormat="1" ht="21" customHeight="1">
      <c r="A76" s="79" t="s">
        <v>13</v>
      </c>
      <c r="B76" s="8">
        <f t="shared" si="1"/>
        <v>69.743</v>
      </c>
      <c r="C76" s="70"/>
      <c r="D76" s="8"/>
      <c r="E76" s="90">
        <v>16.815</v>
      </c>
      <c r="F76" s="84">
        <v>52.928</v>
      </c>
    </row>
    <row r="77" spans="1:6" s="176" customFormat="1" ht="21" customHeight="1">
      <c r="A77" s="79" t="s">
        <v>10</v>
      </c>
      <c r="B77" s="8">
        <f t="shared" si="1"/>
        <v>182.095</v>
      </c>
      <c r="C77" s="70"/>
      <c r="D77" s="8"/>
      <c r="E77" s="8">
        <f>E79+E78</f>
        <v>0</v>
      </c>
      <c r="F77" s="9">
        <f>F79+F78</f>
        <v>182.095</v>
      </c>
    </row>
    <row r="78" spans="1:6" s="176" customFormat="1" ht="21" customHeight="1">
      <c r="A78" s="79" t="s">
        <v>11</v>
      </c>
      <c r="B78" s="8">
        <f t="shared" si="1"/>
        <v>0</v>
      </c>
      <c r="C78" s="70"/>
      <c r="D78" s="8"/>
      <c r="E78" s="8"/>
      <c r="F78" s="9"/>
    </row>
    <row r="79" spans="1:6" s="176" customFormat="1" ht="21" customHeight="1">
      <c r="A79" s="79" t="s">
        <v>12</v>
      </c>
      <c r="B79" s="8">
        <f t="shared" si="1"/>
        <v>182.095</v>
      </c>
      <c r="C79" s="70"/>
      <c r="D79" s="8"/>
      <c r="E79" s="8"/>
      <c r="F79" s="9">
        <v>182.095</v>
      </c>
    </row>
    <row r="80" spans="1:6" s="176" customFormat="1" ht="21" customHeight="1">
      <c r="A80" s="80" t="s">
        <v>21</v>
      </c>
      <c r="B80" s="8">
        <f t="shared" si="1"/>
        <v>280.662</v>
      </c>
      <c r="C80" s="8">
        <f>C81+C82</f>
        <v>0</v>
      </c>
      <c r="D80" s="8"/>
      <c r="E80" s="8">
        <f>E81+E82</f>
        <v>280.662</v>
      </c>
      <c r="F80" s="9">
        <f>F81+F82</f>
        <v>0</v>
      </c>
    </row>
    <row r="81" spans="1:6" s="176" customFormat="1" ht="21" customHeight="1">
      <c r="A81" s="79" t="s">
        <v>13</v>
      </c>
      <c r="B81" s="8">
        <f t="shared" si="1"/>
        <v>280.662</v>
      </c>
      <c r="C81" s="82"/>
      <c r="D81" s="82"/>
      <c r="E81" s="82">
        <v>280.662</v>
      </c>
      <c r="F81" s="83"/>
    </row>
    <row r="82" spans="1:6" s="176" customFormat="1" ht="21" customHeight="1">
      <c r="A82" s="79" t="s">
        <v>10</v>
      </c>
      <c r="B82" s="8">
        <f t="shared" si="1"/>
        <v>0</v>
      </c>
      <c r="C82" s="70"/>
      <c r="D82" s="8"/>
      <c r="E82" s="8">
        <f>E84+E83</f>
        <v>0</v>
      </c>
      <c r="F82" s="9">
        <f>F84+F83</f>
        <v>0</v>
      </c>
    </row>
    <row r="83" spans="1:6" s="176" customFormat="1" ht="21" customHeight="1">
      <c r="A83" s="79" t="s">
        <v>11</v>
      </c>
      <c r="B83" s="8">
        <f t="shared" si="1"/>
        <v>0</v>
      </c>
      <c r="C83" s="70"/>
      <c r="D83" s="8"/>
      <c r="E83" s="10"/>
      <c r="F83" s="14"/>
    </row>
    <row r="84" spans="1:6" s="176" customFormat="1" ht="21" customHeight="1">
      <c r="A84" s="79" t="s">
        <v>12</v>
      </c>
      <c r="B84" s="8">
        <f t="shared" si="1"/>
        <v>0</v>
      </c>
      <c r="C84" s="70"/>
      <c r="D84" s="8"/>
      <c r="E84" s="10"/>
      <c r="F84" s="14"/>
    </row>
    <row r="85" spans="1:6" s="176" customFormat="1" ht="21" customHeight="1">
      <c r="A85" s="80" t="s">
        <v>22</v>
      </c>
      <c r="B85" s="8">
        <f t="shared" si="1"/>
        <v>429.811</v>
      </c>
      <c r="C85" s="70"/>
      <c r="D85" s="8"/>
      <c r="E85" s="8">
        <f>E86+E87</f>
        <v>429.811</v>
      </c>
      <c r="F85" s="9">
        <f>F86+F87</f>
        <v>0</v>
      </c>
    </row>
    <row r="86" spans="1:6" s="176" customFormat="1" ht="21" customHeight="1">
      <c r="A86" s="79" t="s">
        <v>13</v>
      </c>
      <c r="B86" s="8">
        <f t="shared" si="1"/>
        <v>429.811</v>
      </c>
      <c r="C86" s="70"/>
      <c r="D86" s="8"/>
      <c r="E86" s="8">
        <v>429.811</v>
      </c>
      <c r="F86" s="84"/>
    </row>
    <row r="87" spans="1:6" s="176" customFormat="1" ht="21" customHeight="1">
      <c r="A87" s="79" t="s">
        <v>10</v>
      </c>
      <c r="B87" s="8">
        <f t="shared" si="1"/>
        <v>0</v>
      </c>
      <c r="C87" s="70"/>
      <c r="D87" s="8"/>
      <c r="E87" s="8">
        <f>E89+E88</f>
        <v>0</v>
      </c>
      <c r="F87" s="9">
        <f>F89+F88</f>
        <v>0</v>
      </c>
    </row>
    <row r="88" spans="1:6" s="176" customFormat="1" ht="21" customHeight="1">
      <c r="A88" s="79" t="s">
        <v>11</v>
      </c>
      <c r="B88" s="8">
        <f t="shared" si="1"/>
        <v>0</v>
      </c>
      <c r="C88" s="70"/>
      <c r="D88" s="8"/>
      <c r="E88" s="10"/>
      <c r="F88" s="14"/>
    </row>
    <row r="89" spans="1:6" s="176" customFormat="1" ht="21" customHeight="1">
      <c r="A89" s="79" t="s">
        <v>12</v>
      </c>
      <c r="B89" s="8">
        <f t="shared" si="1"/>
        <v>0</v>
      </c>
      <c r="C89" s="70"/>
      <c r="D89" s="8"/>
      <c r="E89" s="10"/>
      <c r="F89" s="14"/>
    </row>
    <row r="90" spans="1:6" s="176" customFormat="1" ht="21" customHeight="1">
      <c r="A90" s="80" t="s">
        <v>49</v>
      </c>
      <c r="B90" s="8">
        <f t="shared" si="1"/>
        <v>0</v>
      </c>
      <c r="C90" s="70"/>
      <c r="D90" s="8"/>
      <c r="E90" s="8">
        <f>E91+E92</f>
        <v>0</v>
      </c>
      <c r="F90" s="9">
        <f>F91+F92</f>
        <v>0</v>
      </c>
    </row>
    <row r="91" spans="1:6" s="176" customFormat="1" ht="21" customHeight="1">
      <c r="A91" s="79" t="s">
        <v>13</v>
      </c>
      <c r="B91" s="8">
        <f t="shared" si="1"/>
        <v>0</v>
      </c>
      <c r="C91" s="70"/>
      <c r="D91" s="8"/>
      <c r="E91" s="8"/>
      <c r="F91" s="84"/>
    </row>
    <row r="92" spans="1:6" s="176" customFormat="1" ht="21" customHeight="1">
      <c r="A92" s="79" t="s">
        <v>10</v>
      </c>
      <c r="B92" s="8">
        <f t="shared" si="1"/>
        <v>0</v>
      </c>
      <c r="C92" s="70"/>
      <c r="D92" s="8"/>
      <c r="E92" s="8">
        <f>E94+E93</f>
        <v>0</v>
      </c>
      <c r="F92" s="9">
        <f>F94+F93</f>
        <v>0</v>
      </c>
    </row>
    <row r="93" spans="1:6" s="176" customFormat="1" ht="21" customHeight="1">
      <c r="A93" s="79" t="s">
        <v>11</v>
      </c>
      <c r="B93" s="8">
        <f t="shared" si="1"/>
        <v>0</v>
      </c>
      <c r="C93" s="70"/>
      <c r="D93" s="8"/>
      <c r="E93" s="8"/>
      <c r="F93" s="9"/>
    </row>
    <row r="94" spans="1:6" s="176" customFormat="1" ht="21" customHeight="1">
      <c r="A94" s="79" t="s">
        <v>12</v>
      </c>
      <c r="B94" s="8">
        <f t="shared" si="1"/>
        <v>0</v>
      </c>
      <c r="C94" s="70"/>
      <c r="D94" s="8"/>
      <c r="E94" s="8"/>
      <c r="F94" s="9"/>
    </row>
    <row r="95" spans="1:6" s="176" customFormat="1" ht="21" customHeight="1">
      <c r="A95" s="80" t="s">
        <v>70</v>
      </c>
      <c r="B95" s="8">
        <f t="shared" si="1"/>
        <v>134.19</v>
      </c>
      <c r="C95" s="17"/>
      <c r="D95" s="8"/>
      <c r="E95" s="17">
        <f>E96+E97</f>
        <v>134.19</v>
      </c>
      <c r="F95" s="18">
        <f>F96+F97</f>
        <v>0</v>
      </c>
    </row>
    <row r="96" spans="1:6" s="176" customFormat="1" ht="21" customHeight="1">
      <c r="A96" s="79" t="s">
        <v>13</v>
      </c>
      <c r="B96" s="8">
        <f t="shared" si="1"/>
        <v>95</v>
      </c>
      <c r="C96" s="8"/>
      <c r="D96" s="8"/>
      <c r="E96" s="17">
        <v>95</v>
      </c>
      <c r="F96" s="18"/>
    </row>
    <row r="97" spans="1:6" s="176" customFormat="1" ht="21" customHeight="1">
      <c r="A97" s="79" t="s">
        <v>10</v>
      </c>
      <c r="B97" s="8">
        <f t="shared" si="1"/>
        <v>39.19</v>
      </c>
      <c r="C97" s="8"/>
      <c r="D97" s="8"/>
      <c r="E97" s="8">
        <f>E99+E98</f>
        <v>39.19</v>
      </c>
      <c r="F97" s="18">
        <f>F98+F99</f>
        <v>0</v>
      </c>
    </row>
    <row r="98" spans="1:6" s="176" customFormat="1" ht="21" customHeight="1">
      <c r="A98" s="79" t="s">
        <v>11</v>
      </c>
      <c r="B98" s="8">
        <f t="shared" si="1"/>
        <v>39.19</v>
      </c>
      <c r="C98" s="8"/>
      <c r="D98" s="8"/>
      <c r="E98" s="70">
        <v>39.19</v>
      </c>
      <c r="F98" s="71"/>
    </row>
    <row r="99" spans="1:6" s="176" customFormat="1" ht="21" customHeight="1">
      <c r="A99" s="79" t="s">
        <v>12</v>
      </c>
      <c r="B99" s="8">
        <f t="shared" si="1"/>
        <v>0</v>
      </c>
      <c r="C99" s="8"/>
      <c r="D99" s="8"/>
      <c r="E99" s="70"/>
      <c r="F99" s="71"/>
    </row>
    <row r="100" spans="1:6" s="176" customFormat="1" ht="21" customHeight="1">
      <c r="A100" s="80" t="s">
        <v>8</v>
      </c>
      <c r="B100" s="8">
        <f t="shared" si="1"/>
        <v>1379.9159999999997</v>
      </c>
      <c r="C100" s="17"/>
      <c r="D100" s="8"/>
      <c r="E100" s="17">
        <f>E101+E102</f>
        <v>609.8109999999999</v>
      </c>
      <c r="F100" s="18">
        <f>F101+F102</f>
        <v>770.1049999999999</v>
      </c>
    </row>
    <row r="101" spans="1:6" s="176" customFormat="1" ht="21" customHeight="1">
      <c r="A101" s="79" t="s">
        <v>13</v>
      </c>
      <c r="B101" s="8">
        <f t="shared" si="1"/>
        <v>600.641</v>
      </c>
      <c r="C101" s="8"/>
      <c r="D101" s="8"/>
      <c r="E101" s="8">
        <v>447.222</v>
      </c>
      <c r="F101" s="9">
        <v>153.419</v>
      </c>
    </row>
    <row r="102" spans="1:6" s="176" customFormat="1" ht="21" customHeight="1">
      <c r="A102" s="79" t="s">
        <v>10</v>
      </c>
      <c r="B102" s="8">
        <f t="shared" si="1"/>
        <v>779.2749999999999</v>
      </c>
      <c r="C102" s="8"/>
      <c r="D102" s="8"/>
      <c r="E102" s="8">
        <f>E104+E103</f>
        <v>162.589</v>
      </c>
      <c r="F102" s="18">
        <f>F103+F104</f>
        <v>616.6859999999999</v>
      </c>
    </row>
    <row r="103" spans="1:6" s="176" customFormat="1" ht="21" customHeight="1">
      <c r="A103" s="79" t="s">
        <v>11</v>
      </c>
      <c r="B103" s="8">
        <f t="shared" si="1"/>
        <v>586.307</v>
      </c>
      <c r="C103" s="8"/>
      <c r="D103" s="8"/>
      <c r="E103" s="11">
        <v>149.1</v>
      </c>
      <c r="F103" s="12">
        <v>437.207</v>
      </c>
    </row>
    <row r="104" spans="1:6" s="176" customFormat="1" ht="21" customHeight="1">
      <c r="A104" s="79" t="s">
        <v>12</v>
      </c>
      <c r="B104" s="8">
        <f t="shared" si="1"/>
        <v>192.968</v>
      </c>
      <c r="C104" s="8"/>
      <c r="D104" s="8"/>
      <c r="E104" s="70">
        <f>2.609+10.88</f>
        <v>13.489</v>
      </c>
      <c r="F104" s="71">
        <f>104.519+74.96</f>
        <v>179.47899999999998</v>
      </c>
    </row>
    <row r="105" spans="1:6" s="176" customFormat="1" ht="21" customHeight="1">
      <c r="A105" s="80" t="s">
        <v>5</v>
      </c>
      <c r="B105" s="8">
        <f t="shared" si="1"/>
        <v>3045.186</v>
      </c>
      <c r="C105" s="17">
        <f>C106+C107</f>
        <v>311.63</v>
      </c>
      <c r="D105" s="8"/>
      <c r="E105" s="17">
        <f>E106+E107</f>
        <v>1910.8980000000001</v>
      </c>
      <c r="F105" s="18">
        <f>F106+F107</f>
        <v>822.658</v>
      </c>
    </row>
    <row r="106" spans="1:6" s="176" customFormat="1" ht="21" customHeight="1">
      <c r="A106" s="79" t="s">
        <v>13</v>
      </c>
      <c r="B106" s="8">
        <f t="shared" si="1"/>
        <v>2018.3410000000001</v>
      </c>
      <c r="C106" s="17">
        <v>311.63</v>
      </c>
      <c r="D106" s="17"/>
      <c r="E106" s="8">
        <v>1459.518</v>
      </c>
      <c r="F106" s="9">
        <v>247.193</v>
      </c>
    </row>
    <row r="107" spans="1:6" s="176" customFormat="1" ht="21" customHeight="1">
      <c r="A107" s="79" t="s">
        <v>10</v>
      </c>
      <c r="B107" s="8">
        <f t="shared" si="1"/>
        <v>1026.845</v>
      </c>
      <c r="C107" s="8"/>
      <c r="D107" s="8"/>
      <c r="E107" s="8">
        <f>E109+E108</f>
        <v>451.38</v>
      </c>
      <c r="F107" s="9">
        <f>F109+F108</f>
        <v>575.465</v>
      </c>
    </row>
    <row r="108" spans="1:6" s="176" customFormat="1" ht="21" customHeight="1">
      <c r="A108" s="79" t="s">
        <v>11</v>
      </c>
      <c r="B108" s="8">
        <f t="shared" si="1"/>
        <v>900.543</v>
      </c>
      <c r="C108" s="72"/>
      <c r="D108" s="72"/>
      <c r="E108" s="11">
        <v>407.187</v>
      </c>
      <c r="F108" s="12">
        <v>493.356</v>
      </c>
    </row>
    <row r="109" spans="1:6" s="176" customFormat="1" ht="21" customHeight="1">
      <c r="A109" s="79" t="s">
        <v>12</v>
      </c>
      <c r="B109" s="8">
        <f t="shared" si="1"/>
        <v>126.30199999999999</v>
      </c>
      <c r="C109" s="70"/>
      <c r="D109" s="70"/>
      <c r="E109" s="70">
        <f>7.927+36.266</f>
        <v>44.193</v>
      </c>
      <c r="F109" s="71">
        <v>82.109</v>
      </c>
    </row>
    <row r="110" spans="1:6" s="176" customFormat="1" ht="21" customHeight="1">
      <c r="A110" s="80" t="s">
        <v>43</v>
      </c>
      <c r="B110" s="8">
        <f t="shared" si="1"/>
        <v>5518.063999999999</v>
      </c>
      <c r="C110" s="17"/>
      <c r="D110" s="8"/>
      <c r="E110" s="17">
        <f>E111+E112</f>
        <v>1190.897</v>
      </c>
      <c r="F110" s="18">
        <f>F111+F112</f>
        <v>4327.1669999999995</v>
      </c>
    </row>
    <row r="111" spans="1:6" s="176" customFormat="1" ht="21" customHeight="1">
      <c r="A111" s="79" t="s">
        <v>13</v>
      </c>
      <c r="B111" s="8">
        <f t="shared" si="1"/>
        <v>2436.2200000000003</v>
      </c>
      <c r="C111" s="8"/>
      <c r="D111" s="8"/>
      <c r="E111" s="17">
        <v>1148.095</v>
      </c>
      <c r="F111" s="18">
        <v>1288.125</v>
      </c>
    </row>
    <row r="112" spans="1:6" s="176" customFormat="1" ht="21" customHeight="1">
      <c r="A112" s="79" t="s">
        <v>10</v>
      </c>
      <c r="B112" s="8">
        <f t="shared" si="1"/>
        <v>3081.844</v>
      </c>
      <c r="C112" s="8"/>
      <c r="D112" s="8"/>
      <c r="E112" s="17">
        <f>E113+E114</f>
        <v>42.80200000000001</v>
      </c>
      <c r="F112" s="18">
        <f>F113+F114</f>
        <v>3039.042</v>
      </c>
    </row>
    <row r="113" spans="1:6" s="176" customFormat="1" ht="21" customHeight="1">
      <c r="A113" s="79" t="s">
        <v>11</v>
      </c>
      <c r="B113" s="8">
        <f t="shared" si="1"/>
        <v>288.478</v>
      </c>
      <c r="C113" s="10"/>
      <c r="D113" s="8"/>
      <c r="E113" s="11">
        <v>19.609</v>
      </c>
      <c r="F113" s="12">
        <v>268.869</v>
      </c>
    </row>
    <row r="114" spans="1:6" s="176" customFormat="1" ht="21" customHeight="1" thickBot="1">
      <c r="A114" s="85" t="s">
        <v>12</v>
      </c>
      <c r="B114" s="19">
        <f>C114+D114+E114+F114</f>
        <v>2793.366</v>
      </c>
      <c r="C114" s="21"/>
      <c r="D114" s="19"/>
      <c r="E114" s="91">
        <v>23.193</v>
      </c>
      <c r="F114" s="93">
        <v>2770.173</v>
      </c>
    </row>
    <row r="115" spans="1:6" s="176" customFormat="1" ht="18.75" thickBot="1">
      <c r="A115" s="172"/>
      <c r="B115" s="165"/>
      <c r="C115" s="165"/>
      <c r="D115" s="165"/>
      <c r="E115" s="165"/>
      <c r="F115" s="165"/>
    </row>
    <row r="116" spans="1:6" s="176" customFormat="1" ht="24" thickBot="1">
      <c r="A116" s="163" t="s">
        <v>72</v>
      </c>
      <c r="B116" s="113">
        <f>C116+D116+E116+F116</f>
        <v>109569.272</v>
      </c>
      <c r="C116" s="118">
        <f>C110+C105+C100+C95+C90+C85+C80+C75+C70+C65+C60+C55+C50+C45+C40+C35+C30+C25+C20+C15+C10+C5</f>
        <v>43490.76</v>
      </c>
      <c r="D116" s="118">
        <f>D110+D105+D100+D95+D90+D85+D80+D75+D70+D65+D60+D55+D50+D45+D40+D35+D30+D25+D20+D15+D10+D5</f>
        <v>1352.203</v>
      </c>
      <c r="E116" s="118">
        <f>E110+E105+E100+E95+E90+E85+E80+E75+E70+E65+E60+E55+E50+E45+E40+E35+E30+E25+E20+E15+E10+E5</f>
        <v>28426.809</v>
      </c>
      <c r="F116" s="118">
        <f>F110+F105+F100+F95+F90+F85+F80+F75+F70+F65+F60+F55+F50+F45+F40+F35+F30+F25+F20+F15+F10+F5</f>
        <v>36299.5</v>
      </c>
    </row>
    <row r="117" s="176" customFormat="1" ht="12.75"/>
    <row r="118" s="176" customFormat="1" ht="12.75"/>
    <row r="119" s="176" customFormat="1" ht="12.75"/>
    <row r="120" spans="2:7" s="176" customFormat="1" ht="23.25">
      <c r="B120" s="178"/>
      <c r="C120" s="178"/>
      <c r="D120" s="178"/>
      <c r="E120" s="178"/>
      <c r="F120" s="178"/>
      <c r="G120" s="180"/>
    </row>
    <row r="121" s="176" customFormat="1" ht="12.75"/>
    <row r="122" s="178" customFormat="1" ht="23.25"/>
    <row r="123" spans="5:6" s="178" customFormat="1" ht="23.25">
      <c r="E123" s="179"/>
      <c r="F123" s="179"/>
    </row>
    <row r="124" s="178" customFormat="1" ht="23.25"/>
    <row r="125" s="178" customFormat="1" ht="23.25"/>
    <row r="126" s="178" customFormat="1" ht="23.25"/>
    <row r="127" s="178" customFormat="1" ht="23.25"/>
    <row r="128" s="176" customFormat="1" ht="12.75"/>
    <row r="129" s="176" customFormat="1" ht="12.75"/>
    <row r="130" s="176" customFormat="1" ht="12.75"/>
    <row r="131" s="176" customFormat="1" ht="12.75"/>
    <row r="132" s="176" customFormat="1" ht="12.75"/>
    <row r="133" s="176" customFormat="1" ht="12.75"/>
    <row r="134" s="176" customFormat="1" ht="12.75"/>
    <row r="135" s="176" customFormat="1" ht="12.75"/>
    <row r="136" s="176" customFormat="1" ht="12.75"/>
    <row r="137" s="176" customFormat="1" ht="12.75"/>
    <row r="138" s="176" customFormat="1" ht="12.75"/>
    <row r="139" s="176" customFormat="1" ht="12.75"/>
    <row r="140" s="176" customFormat="1" ht="12.75"/>
    <row r="141" s="176" customFormat="1" ht="12.75"/>
    <row r="142" s="176" customFormat="1" ht="12.75"/>
    <row r="143" s="176" customFormat="1" ht="12.75"/>
    <row r="144" s="176" customFormat="1" ht="12.75"/>
    <row r="145" s="176" customFormat="1" ht="12.75"/>
    <row r="146" s="176" customFormat="1" ht="12.75"/>
    <row r="147" s="176" customFormat="1" ht="12.75"/>
    <row r="148" s="176" customFormat="1" ht="12.75"/>
    <row r="149" s="176" customFormat="1" ht="12.75"/>
    <row r="150" s="176" customFormat="1" ht="12.75"/>
    <row r="151" s="176" customFormat="1" ht="12.75"/>
    <row r="152" s="176" customFormat="1" ht="12.75"/>
    <row r="153" s="176" customFormat="1" ht="12.75"/>
    <row r="154" s="176" customFormat="1" ht="12.75"/>
    <row r="155" s="176" customFormat="1" ht="12.75"/>
    <row r="156" s="176" customFormat="1" ht="12.75"/>
    <row r="157" s="176" customFormat="1" ht="12.75"/>
    <row r="158" s="176" customFormat="1" ht="12.75"/>
    <row r="159" s="176" customFormat="1" ht="12.75"/>
    <row r="160" s="176" customFormat="1" ht="12.75"/>
    <row r="161" s="176" customFormat="1" ht="12.75"/>
    <row r="162" s="176" customFormat="1" ht="12.75"/>
    <row r="163" s="176" customFormat="1" ht="12.75"/>
    <row r="164" s="176" customFormat="1" ht="12.75"/>
    <row r="165" s="176" customFormat="1" ht="12.75"/>
    <row r="166" s="176" customFormat="1" ht="12.75"/>
    <row r="167" s="176" customFormat="1" ht="12.75"/>
    <row r="168" s="176" customFormat="1" ht="12.75"/>
    <row r="169" s="176" customFormat="1" ht="12.75"/>
    <row r="170" s="176" customFormat="1" ht="12.75"/>
    <row r="171" s="176" customFormat="1" ht="12.75"/>
    <row r="172" s="176" customFormat="1" ht="12.75"/>
    <row r="173" s="176" customFormat="1" ht="12.75"/>
    <row r="174" s="176" customFormat="1" ht="12.75"/>
    <row r="175" s="176" customFormat="1" ht="12.75"/>
    <row r="176" s="176" customFormat="1" ht="12.75"/>
    <row r="177" s="176" customFormat="1" ht="12.75"/>
    <row r="178" s="176" customFormat="1" ht="12.75"/>
    <row r="179" s="176" customFormat="1" ht="12.75"/>
    <row r="180" s="176" customFormat="1" ht="12.75"/>
    <row r="181" s="176" customFormat="1" ht="12.75"/>
    <row r="182" s="176" customFormat="1" ht="12.75"/>
    <row r="183" s="176" customFormat="1" ht="12.75"/>
    <row r="184" s="176" customFormat="1" ht="12.75"/>
    <row r="185" s="176" customFormat="1" ht="12.75"/>
    <row r="186" s="176" customFormat="1" ht="12.75"/>
    <row r="187" s="176" customFormat="1" ht="12.75"/>
    <row r="188" s="176" customFormat="1" ht="12.75"/>
    <row r="189" s="176" customFormat="1" ht="12.75"/>
    <row r="190" s="176" customFormat="1" ht="12.75"/>
    <row r="191" s="176" customFormat="1" ht="12.75"/>
    <row r="192" s="176" customFormat="1" ht="12.75"/>
    <row r="193" s="176" customFormat="1" ht="12.75"/>
    <row r="194" s="176" customFormat="1" ht="12.75"/>
    <row r="195" s="176" customFormat="1" ht="12.75"/>
    <row r="196" s="176" customFormat="1" ht="12.75"/>
    <row r="197" s="176" customFormat="1" ht="12.75"/>
    <row r="198" s="176" customFormat="1" ht="12.75"/>
    <row r="199" s="176" customFormat="1" ht="12.75"/>
    <row r="200" s="176" customFormat="1" ht="12.75"/>
    <row r="201" s="176" customFormat="1" ht="12.75"/>
    <row r="202" s="176" customFormat="1" ht="12.75"/>
    <row r="203" s="176" customFormat="1" ht="12.75"/>
    <row r="204" s="176" customFormat="1" ht="12.75"/>
    <row r="205" s="176" customFormat="1" ht="12.75"/>
    <row r="206" s="176" customFormat="1" ht="12.75"/>
    <row r="207" s="176" customFormat="1" ht="12.75"/>
    <row r="208" s="176" customFormat="1" ht="12.75"/>
    <row r="209" s="176" customFormat="1" ht="12.75"/>
    <row r="210" s="176" customFormat="1" ht="12.75"/>
    <row r="211" s="176" customFormat="1" ht="12.75"/>
    <row r="212" s="176" customFormat="1" ht="12.75"/>
    <row r="213" s="176" customFormat="1" ht="12.75"/>
    <row r="214" s="176" customFormat="1" ht="12.75"/>
    <row r="215" s="176" customFormat="1" ht="12.75"/>
    <row r="216" s="176" customFormat="1" ht="12.75"/>
    <row r="217" s="176" customFormat="1" ht="12.75"/>
    <row r="218" s="176" customFormat="1" ht="12.75"/>
    <row r="219" s="176" customFormat="1" ht="12.75"/>
    <row r="220" s="176" customFormat="1" ht="12.75"/>
    <row r="221" s="176" customFormat="1" ht="12.75"/>
    <row r="222" s="176" customFormat="1" ht="12.75"/>
    <row r="223" s="176" customFormat="1" ht="12.75"/>
    <row r="224" s="176" customFormat="1" ht="12.75"/>
    <row r="225" s="176" customFormat="1" ht="12.75"/>
    <row r="226" s="176" customFormat="1" ht="12.75"/>
    <row r="227" s="176" customFormat="1" ht="12.75"/>
    <row r="228" s="176" customFormat="1" ht="12.75"/>
    <row r="229" s="176" customFormat="1" ht="12.75"/>
    <row r="230" s="176" customFormat="1" ht="12.75"/>
    <row r="231" s="176" customFormat="1" ht="12.75"/>
    <row r="232" s="176" customFormat="1" ht="12.75"/>
    <row r="233" s="176" customFormat="1" ht="12.75"/>
    <row r="234" s="176" customFormat="1" ht="12.75"/>
    <row r="235" s="176" customFormat="1" ht="12.75"/>
    <row r="236" s="176" customFormat="1" ht="12.75"/>
    <row r="237" s="176" customFormat="1" ht="12.75"/>
    <row r="238" s="176" customFormat="1" ht="12.75"/>
    <row r="239" s="176" customFormat="1" ht="12.75"/>
    <row r="240" s="176" customFormat="1" ht="12.75"/>
    <row r="241" s="176" customFormat="1" ht="12.75"/>
    <row r="242" s="176" customFormat="1" ht="12.75"/>
    <row r="243" s="176" customFormat="1" ht="12.75"/>
    <row r="244" s="176" customFormat="1" ht="12.75"/>
    <row r="245" s="176" customFormat="1" ht="12.75"/>
    <row r="246" s="176" customFormat="1" ht="12.75"/>
    <row r="247" s="176" customFormat="1" ht="12.75"/>
    <row r="248" s="176" customFormat="1" ht="12.75"/>
    <row r="249" s="176" customFormat="1" ht="12.75"/>
    <row r="250" s="176" customFormat="1" ht="12.75"/>
    <row r="251" s="176" customFormat="1" ht="12.75"/>
    <row r="252" s="176" customFormat="1" ht="12.75"/>
    <row r="253" s="176" customFormat="1" ht="12.75"/>
    <row r="254" s="176" customFormat="1" ht="12.75"/>
    <row r="255" s="176" customFormat="1" ht="12.75"/>
    <row r="256" s="176" customFormat="1" ht="12.75"/>
    <row r="257" s="176" customFormat="1" ht="12.75"/>
    <row r="258" s="176" customFormat="1" ht="12.75"/>
    <row r="259" s="176" customFormat="1" ht="12.75"/>
    <row r="260" s="176" customFormat="1" ht="12.75"/>
    <row r="261" s="176" customFormat="1" ht="12.75"/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2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6"/>
  <sheetViews>
    <sheetView zoomScale="60" zoomScaleNormal="60" zoomScalePageLayoutView="0" workbookViewId="0" topLeftCell="A1">
      <pane xSplit="1" ySplit="4" topLeftCell="B5" activePane="bottomRight" state="frozen"/>
      <selection pane="topLeft" activeCell="E77" sqref="E77"/>
      <selection pane="topRight" activeCell="E77" sqref="E77"/>
      <selection pane="bottomLeft" activeCell="E77" sqref="E77"/>
      <selection pane="bottomRight" activeCell="A118" sqref="A5:F118"/>
    </sheetView>
  </sheetViews>
  <sheetFormatPr defaultColWidth="9.00390625" defaultRowHeight="12.75"/>
  <cols>
    <col min="1" max="1" width="59.125" style="0" customWidth="1"/>
    <col min="2" max="6" width="25.25390625" style="0" customWidth="1"/>
    <col min="7" max="7" width="11.75390625" style="59" customWidth="1"/>
    <col min="8" max="8" width="27.00390625" style="59" customWidth="1"/>
    <col min="9" max="9" width="18.125" style="59" customWidth="1"/>
    <col min="10" max="16384" width="9.125" style="59" customWidth="1"/>
  </cols>
  <sheetData>
    <row r="1" spans="1:6" ht="23.25">
      <c r="A1" s="185" t="s">
        <v>29</v>
      </c>
      <c r="B1" s="185"/>
      <c r="C1" s="185"/>
      <c r="D1" s="185"/>
      <c r="E1" s="185"/>
      <c r="F1" s="185"/>
    </row>
    <row r="2" spans="1:6" s="64" customFormat="1" ht="23.25">
      <c r="A2" s="186" t="s">
        <v>61</v>
      </c>
      <c r="B2" s="186"/>
      <c r="C2" s="186"/>
      <c r="D2" s="188"/>
      <c r="E2" s="188"/>
      <c r="F2" s="188"/>
    </row>
    <row r="3" spans="1:6" ht="18.75" thickBot="1">
      <c r="A3" s="3"/>
      <c r="B3" s="3"/>
      <c r="C3" s="3"/>
      <c r="D3" s="3"/>
      <c r="E3" s="3"/>
      <c r="F3" s="56" t="s">
        <v>28</v>
      </c>
    </row>
    <row r="4" spans="1:8" s="66" customFormat="1" ht="29.25" customHeight="1" thickBot="1">
      <c r="A4" s="38" t="s">
        <v>32</v>
      </c>
      <c r="B4" s="53"/>
      <c r="C4" s="42" t="s">
        <v>0</v>
      </c>
      <c r="D4" s="42" t="s">
        <v>1</v>
      </c>
      <c r="E4" s="42" t="s">
        <v>2</v>
      </c>
      <c r="F4" s="43" t="s">
        <v>3</v>
      </c>
      <c r="G4" s="7"/>
      <c r="H4" s="65"/>
    </row>
    <row r="5" spans="1:8" s="4" customFormat="1" ht="36.75" customHeight="1">
      <c r="A5" s="57" t="s">
        <v>35</v>
      </c>
      <c r="B5" s="44">
        <f>C5+D5+E5+F5</f>
        <v>210784.709</v>
      </c>
      <c r="C5" s="76">
        <f>C6+C7</f>
        <v>85255.849</v>
      </c>
      <c r="D5" s="76">
        <f>D6+D7</f>
        <v>3772.238</v>
      </c>
      <c r="E5" s="76">
        <f>E6+E7</f>
        <v>53787.989</v>
      </c>
      <c r="F5" s="77">
        <f>F6+F7</f>
        <v>67968.633</v>
      </c>
      <c r="G5" s="13"/>
      <c r="H5" s="35"/>
    </row>
    <row r="6" spans="1:9" s="4" customFormat="1" ht="27" customHeight="1">
      <c r="A6" s="97" t="s">
        <v>47</v>
      </c>
      <c r="B6" s="5">
        <f aca="true" t="shared" si="0" ref="B6:B39">C6+D6+E6+F6</f>
        <v>162982.582</v>
      </c>
      <c r="C6" s="68">
        <f>'июль факт'!C6+'август факт'!C6+'сентябрь факт'!C6</f>
        <v>85163.698</v>
      </c>
      <c r="D6" s="68">
        <f>'июль факт'!D6+'август факт'!D6+'сентябрь факт'!D6</f>
        <v>3768.298</v>
      </c>
      <c r="E6" s="68">
        <f>'июль факт'!E6+'август факт'!E6+'сентябрь факт'!E6</f>
        <v>50878.144</v>
      </c>
      <c r="F6" s="69">
        <f>'июль факт'!F6+'август факт'!F6+'сентябрь факт'!F6</f>
        <v>23172.441999999995</v>
      </c>
      <c r="G6" s="13"/>
      <c r="H6" s="35"/>
      <c r="I6" s="35"/>
    </row>
    <row r="7" spans="1:8" s="4" customFormat="1" ht="20.25" customHeight="1">
      <c r="A7" s="15" t="s">
        <v>10</v>
      </c>
      <c r="B7" s="5">
        <f t="shared" si="0"/>
        <v>47802.127</v>
      </c>
      <c r="C7" s="68">
        <f>'июль факт'!C7+'август факт'!C7+'сентябрь факт'!C7</f>
        <v>92.15100000000001</v>
      </c>
      <c r="D7" s="68">
        <f>'июль факт'!D7+'август факт'!D7+'сентябрь факт'!D7</f>
        <v>3.9400000000000004</v>
      </c>
      <c r="E7" s="68">
        <f>'июль факт'!E7+'август факт'!E7+'сентябрь факт'!E7</f>
        <v>2909.8450000000003</v>
      </c>
      <c r="F7" s="69">
        <f>'июль факт'!F7+'август факт'!F7+'сентябрь факт'!F7</f>
        <v>44796.191</v>
      </c>
      <c r="G7" s="13"/>
      <c r="H7" s="35"/>
    </row>
    <row r="8" spans="1:8" s="4" customFormat="1" ht="21.75" customHeight="1">
      <c r="A8" s="15" t="s">
        <v>11</v>
      </c>
      <c r="B8" s="5">
        <f t="shared" si="0"/>
        <v>13092.124000000002</v>
      </c>
      <c r="C8" s="68">
        <f>'июль факт'!C8+'август факт'!C8+'сентябрь факт'!C8</f>
        <v>32.513</v>
      </c>
      <c r="D8" s="68">
        <f>'июль факт'!D8+'август факт'!D8+'сентябрь факт'!D8</f>
        <v>0</v>
      </c>
      <c r="E8" s="68">
        <f>'июль факт'!E8+'август факт'!E8+'сентябрь факт'!E8</f>
        <v>518.587</v>
      </c>
      <c r="F8" s="69">
        <f>'июль факт'!F8+'август факт'!F8+'сентябрь факт'!F8</f>
        <v>12541.024000000001</v>
      </c>
      <c r="G8" s="13"/>
      <c r="H8" s="35"/>
    </row>
    <row r="9" spans="1:8" s="4" customFormat="1" ht="24.75" customHeight="1">
      <c r="A9" s="15" t="s">
        <v>12</v>
      </c>
      <c r="B9" s="5">
        <f t="shared" si="0"/>
        <v>34710.003000000004</v>
      </c>
      <c r="C9" s="68">
        <f>'июль факт'!C9+'август факт'!C9+'сентябрь факт'!C9</f>
        <v>59.63799999999999</v>
      </c>
      <c r="D9" s="68">
        <f>'июль факт'!D9+'август факт'!D9+'сентябрь факт'!D9</f>
        <v>3.9400000000000004</v>
      </c>
      <c r="E9" s="68">
        <f>'июль факт'!E9+'август факт'!E9+'сентябрь факт'!E9</f>
        <v>2391.258</v>
      </c>
      <c r="F9" s="69">
        <f>'июль факт'!F9+'август факт'!F9+'сентябрь факт'!F9</f>
        <v>32255.167</v>
      </c>
      <c r="G9" s="7"/>
      <c r="H9" s="35"/>
    </row>
    <row r="10" spans="1:8" s="4" customFormat="1" ht="47.25" customHeight="1">
      <c r="A10" s="58" t="s">
        <v>36</v>
      </c>
      <c r="B10" s="5">
        <f t="shared" si="0"/>
        <v>14854.349</v>
      </c>
      <c r="C10" s="68">
        <f>'июль факт'!C10+'август факт'!C10+'сентябрь факт'!C10</f>
        <v>1976.98</v>
      </c>
      <c r="D10" s="68">
        <f>'июль факт'!D10+'август факт'!D10+'сентябрь факт'!D10</f>
        <v>0</v>
      </c>
      <c r="E10" s="68">
        <f>'июль факт'!E10+'август факт'!E10+'сентябрь факт'!E10</f>
        <v>5080.841</v>
      </c>
      <c r="F10" s="69">
        <f>'июль факт'!F10+'август факт'!F10+'сентябрь факт'!F10</f>
        <v>7796.528</v>
      </c>
      <c r="G10" s="13"/>
      <c r="H10" s="35"/>
    </row>
    <row r="11" spans="1:8" s="4" customFormat="1" ht="21.75" customHeight="1">
      <c r="A11" s="15" t="s">
        <v>13</v>
      </c>
      <c r="B11" s="5">
        <f t="shared" si="0"/>
        <v>8967.833</v>
      </c>
      <c r="C11" s="68">
        <f>'июль факт'!C11+'август факт'!C11+'сентябрь факт'!C11</f>
        <v>1775.4499999999998</v>
      </c>
      <c r="D11" s="68">
        <f>'июль факт'!D11+'август факт'!D11+'сентябрь факт'!D11</f>
        <v>0</v>
      </c>
      <c r="E11" s="68">
        <f>'июль факт'!E11+'август факт'!E11+'сентябрь факт'!E11</f>
        <v>4229.751</v>
      </c>
      <c r="F11" s="69">
        <f>'июль факт'!F11+'август факт'!F11+'сентябрь факт'!F11</f>
        <v>2962.632</v>
      </c>
      <c r="G11" s="13"/>
      <c r="H11" s="35"/>
    </row>
    <row r="12" spans="1:8" s="4" customFormat="1" ht="19.5" customHeight="1">
      <c r="A12" s="15" t="s">
        <v>10</v>
      </c>
      <c r="B12" s="5">
        <f t="shared" si="0"/>
        <v>5886.5160000000005</v>
      </c>
      <c r="C12" s="68">
        <f>'июль факт'!C12+'август факт'!C12+'сентябрь факт'!C12</f>
        <v>201.53</v>
      </c>
      <c r="D12" s="68">
        <f>'июль факт'!D12+'август факт'!D12+'сентябрь факт'!D12</f>
        <v>0</v>
      </c>
      <c r="E12" s="68">
        <f>'июль факт'!E12+'август факт'!E12+'сентябрь факт'!E12</f>
        <v>851.0900000000001</v>
      </c>
      <c r="F12" s="69">
        <f>'июль факт'!F12+'август факт'!F12+'сентябрь факт'!F12</f>
        <v>4833.896000000001</v>
      </c>
      <c r="G12" s="13"/>
      <c r="H12" s="35"/>
    </row>
    <row r="13" spans="1:8" s="4" customFormat="1" ht="17.25" customHeight="1">
      <c r="A13" s="15" t="s">
        <v>11</v>
      </c>
      <c r="B13" s="5">
        <f t="shared" si="0"/>
        <v>3528.711</v>
      </c>
      <c r="C13" s="68">
        <f>'июль факт'!C13+'август факт'!C13+'сентябрь факт'!C13</f>
        <v>0</v>
      </c>
      <c r="D13" s="68">
        <f>'июль факт'!D13+'август факт'!D13+'сентябрь факт'!D13</f>
        <v>0</v>
      </c>
      <c r="E13" s="68">
        <f>'июль факт'!E13+'август факт'!E13+'сентябрь факт'!E13</f>
        <v>190.596</v>
      </c>
      <c r="F13" s="69">
        <f>'июль факт'!F13+'август факт'!F13+'сентябрь факт'!F13</f>
        <v>3338.115</v>
      </c>
      <c r="G13" s="13"/>
      <c r="H13" s="35"/>
    </row>
    <row r="14" spans="1:8" s="4" customFormat="1" ht="17.25" customHeight="1">
      <c r="A14" s="15" t="s">
        <v>12</v>
      </c>
      <c r="B14" s="5">
        <f t="shared" si="0"/>
        <v>2357.805</v>
      </c>
      <c r="C14" s="68">
        <f>'июль факт'!C14+'август факт'!C14+'сентябрь факт'!C14</f>
        <v>201.53</v>
      </c>
      <c r="D14" s="68">
        <f>'июль факт'!D14+'август факт'!D14+'сентябрь факт'!D14</f>
        <v>0</v>
      </c>
      <c r="E14" s="68">
        <f>'июль факт'!E14+'август факт'!E14+'сентябрь факт'!E14</f>
        <v>660.4939999999999</v>
      </c>
      <c r="F14" s="69">
        <f>'июль факт'!F14+'август факт'!F14+'сентябрь факт'!F14</f>
        <v>1495.781</v>
      </c>
      <c r="G14" s="13"/>
      <c r="H14" s="35"/>
    </row>
    <row r="15" spans="1:8" s="4" customFormat="1" ht="35.25" customHeight="1">
      <c r="A15" s="58" t="s">
        <v>6</v>
      </c>
      <c r="B15" s="5">
        <f t="shared" si="0"/>
        <v>2935.964</v>
      </c>
      <c r="C15" s="68">
        <f>'июль факт'!C15+'август факт'!C15+'сентябрь факт'!C15</f>
        <v>2935.964</v>
      </c>
      <c r="D15" s="68">
        <f>'июль факт'!D15+'август факт'!D15+'сентябрь факт'!D15</f>
        <v>0</v>
      </c>
      <c r="E15" s="68">
        <f>'июль факт'!E15+'август факт'!E15+'сентябрь факт'!E15</f>
        <v>0</v>
      </c>
      <c r="F15" s="69">
        <f>'июль факт'!F15+'август факт'!F15+'сентябрь факт'!F15</f>
        <v>0</v>
      </c>
      <c r="G15" s="7"/>
      <c r="H15" s="25"/>
    </row>
    <row r="16" spans="1:8" s="4" customFormat="1" ht="19.5" customHeight="1">
      <c r="A16" s="15" t="s">
        <v>13</v>
      </c>
      <c r="B16" s="5">
        <f t="shared" si="0"/>
        <v>2935.146</v>
      </c>
      <c r="C16" s="68">
        <f>'июль факт'!C16+'август факт'!C16+'сентябрь факт'!C16</f>
        <v>2935.146</v>
      </c>
      <c r="D16" s="68">
        <f>'июль факт'!D16+'август факт'!D16+'сентябрь факт'!D16</f>
        <v>0</v>
      </c>
      <c r="E16" s="68">
        <f>'июль факт'!E16+'август факт'!E16+'сентябрь факт'!E16</f>
        <v>0</v>
      </c>
      <c r="F16" s="69">
        <f>'июль факт'!F16+'август факт'!F16+'сентябрь факт'!F16</f>
        <v>0</v>
      </c>
      <c r="G16" s="7"/>
      <c r="H16" s="25"/>
    </row>
    <row r="17" spans="1:8" s="4" customFormat="1" ht="18" customHeight="1">
      <c r="A17" s="15" t="s">
        <v>10</v>
      </c>
      <c r="B17" s="5">
        <f t="shared" si="0"/>
        <v>0.8180000000000001</v>
      </c>
      <c r="C17" s="68">
        <f>'июль факт'!C17+'август факт'!C17+'сентябрь факт'!C17</f>
        <v>0.8180000000000001</v>
      </c>
      <c r="D17" s="68">
        <f>'июль факт'!D17+'август факт'!D17+'сентябрь факт'!D17</f>
        <v>0</v>
      </c>
      <c r="E17" s="68">
        <f>'июль факт'!E17+'август факт'!E17+'сентябрь факт'!E17</f>
        <v>0</v>
      </c>
      <c r="F17" s="69">
        <f>'июль факт'!F17+'август факт'!F17+'сентябрь факт'!F17</f>
        <v>0</v>
      </c>
      <c r="G17" s="7"/>
      <c r="H17" s="25"/>
    </row>
    <row r="18" spans="1:8" s="4" customFormat="1" ht="19.5" customHeight="1">
      <c r="A18" s="15" t="s">
        <v>11</v>
      </c>
      <c r="B18" s="5">
        <f t="shared" si="0"/>
        <v>0.8180000000000001</v>
      </c>
      <c r="C18" s="68">
        <f>'июль факт'!C18+'август факт'!C18+'сентябрь факт'!C18</f>
        <v>0.8180000000000001</v>
      </c>
      <c r="D18" s="68">
        <f>'июль факт'!D18+'август факт'!D18+'сентябрь факт'!D18</f>
        <v>0</v>
      </c>
      <c r="E18" s="68">
        <f>'июль факт'!E18+'август факт'!E18+'сентябрь факт'!E18</f>
        <v>0</v>
      </c>
      <c r="F18" s="69">
        <f>'июль факт'!F18+'август факт'!F18+'сентябрь факт'!F18</f>
        <v>0</v>
      </c>
      <c r="G18" s="7"/>
      <c r="H18" s="25"/>
    </row>
    <row r="19" spans="1:8" s="4" customFormat="1" ht="19.5" customHeight="1">
      <c r="A19" s="15" t="s">
        <v>12</v>
      </c>
      <c r="B19" s="5">
        <f t="shared" si="0"/>
        <v>0</v>
      </c>
      <c r="C19" s="68">
        <f>'июль факт'!C19+'август факт'!C19+'сентябрь факт'!C19</f>
        <v>0</v>
      </c>
      <c r="D19" s="68">
        <f>'июль факт'!D19+'август факт'!D19+'сентябрь факт'!D19</f>
        <v>0</v>
      </c>
      <c r="E19" s="68">
        <f>'июль факт'!E19+'август факт'!E19+'сентябрь факт'!E19</f>
        <v>0</v>
      </c>
      <c r="F19" s="69">
        <f>'июль факт'!F19+'август факт'!F19+'сентябрь факт'!F19</f>
        <v>0</v>
      </c>
      <c r="G19" s="7"/>
      <c r="H19" s="25"/>
    </row>
    <row r="20" spans="1:8" s="4" customFormat="1" ht="51" customHeight="1">
      <c r="A20" s="58" t="s">
        <v>37</v>
      </c>
      <c r="B20" s="5">
        <f t="shared" si="0"/>
        <v>7653.617</v>
      </c>
      <c r="C20" s="68">
        <f>'июль факт'!C20+'август факт'!C20+'сентябрь факт'!C20</f>
        <v>6760.554</v>
      </c>
      <c r="D20" s="68">
        <f>'июль факт'!D20+'август факт'!D20+'сентябрь факт'!D20</f>
        <v>360.958</v>
      </c>
      <c r="E20" s="68">
        <f>'июль факт'!E20+'август факт'!E20+'сентябрь факт'!E20</f>
        <v>277.54200000000003</v>
      </c>
      <c r="F20" s="69">
        <f>'июль факт'!F20+'август факт'!F20+'сентябрь факт'!F20</f>
        <v>254.56300000000002</v>
      </c>
      <c r="G20" s="13"/>
      <c r="H20" s="35"/>
    </row>
    <row r="21" spans="1:8" s="4" customFormat="1" ht="21.75" customHeight="1">
      <c r="A21" s="15" t="s">
        <v>13</v>
      </c>
      <c r="B21" s="5">
        <f t="shared" si="0"/>
        <v>7603.584</v>
      </c>
      <c r="C21" s="68">
        <f>'июль факт'!C21+'август факт'!C21+'сентябрь факт'!C21</f>
        <v>6760.554</v>
      </c>
      <c r="D21" s="68">
        <f>'июль факт'!D21+'август факт'!D21+'сентябрь факт'!D21</f>
        <v>360.958</v>
      </c>
      <c r="E21" s="68">
        <f>'июль факт'!E21+'август факт'!E21+'сентябрь факт'!E21</f>
        <v>277.54200000000003</v>
      </c>
      <c r="F21" s="69">
        <f>'июль факт'!F21+'август факт'!F21+'сентябрь факт'!F21</f>
        <v>204.53</v>
      </c>
      <c r="G21" s="13"/>
      <c r="H21" s="35"/>
    </row>
    <row r="22" spans="1:8" s="4" customFormat="1" ht="21" customHeight="1">
      <c r="A22" s="15" t="s">
        <v>10</v>
      </c>
      <c r="B22" s="5">
        <f t="shared" si="0"/>
        <v>50.033</v>
      </c>
      <c r="C22" s="68">
        <f>'июль факт'!C22+'август факт'!C22+'сентябрь факт'!C22</f>
        <v>0</v>
      </c>
      <c r="D22" s="68">
        <f>'июль факт'!D22+'август факт'!D22+'сентябрь факт'!D22</f>
        <v>0</v>
      </c>
      <c r="E22" s="68">
        <f>'июль факт'!E22+'август факт'!E22+'сентябрь факт'!E22</f>
        <v>0</v>
      </c>
      <c r="F22" s="69">
        <f>'июль факт'!F22+'август факт'!F22+'сентябрь факт'!F22</f>
        <v>50.033</v>
      </c>
      <c r="G22" s="13"/>
      <c r="H22" s="35"/>
    </row>
    <row r="23" spans="1:8" s="4" customFormat="1" ht="21.75" customHeight="1">
      <c r="A23" s="15" t="s">
        <v>11</v>
      </c>
      <c r="B23" s="5">
        <f t="shared" si="0"/>
        <v>50.033</v>
      </c>
      <c r="C23" s="68">
        <f>'июль факт'!C23+'август факт'!C23+'сентябрь факт'!C23</f>
        <v>0</v>
      </c>
      <c r="D23" s="68">
        <f>'июль факт'!D23+'август факт'!D23+'сентябрь факт'!D23</f>
        <v>0</v>
      </c>
      <c r="E23" s="68">
        <f>'июль факт'!E23+'август факт'!E23+'сентябрь факт'!E23</f>
        <v>0</v>
      </c>
      <c r="F23" s="69">
        <f>'июль факт'!F23+'август факт'!F23+'сентябрь факт'!F23</f>
        <v>50.033</v>
      </c>
      <c r="G23" s="13"/>
      <c r="H23" s="35"/>
    </row>
    <row r="24" spans="1:8" s="4" customFormat="1" ht="21" customHeight="1">
      <c r="A24" s="15" t="s">
        <v>12</v>
      </c>
      <c r="B24" s="5">
        <f t="shared" si="0"/>
        <v>0</v>
      </c>
      <c r="C24" s="68">
        <f>'июль факт'!C24+'август факт'!C24+'сентябрь факт'!C24</f>
        <v>0</v>
      </c>
      <c r="D24" s="68">
        <f>'июль факт'!D24+'август факт'!D24+'сентябрь факт'!D24</f>
        <v>0</v>
      </c>
      <c r="E24" s="68">
        <f>'июль факт'!E24+'август факт'!E24+'сентябрь факт'!E24</f>
        <v>0</v>
      </c>
      <c r="F24" s="69">
        <f>'июль факт'!F24+'август факт'!F24+'сентябрь факт'!F24</f>
        <v>0</v>
      </c>
      <c r="G24" s="13"/>
      <c r="H24" s="35"/>
    </row>
    <row r="25" spans="1:8" s="4" customFormat="1" ht="41.25" customHeight="1">
      <c r="A25" s="58" t="s">
        <v>7</v>
      </c>
      <c r="B25" s="5">
        <f t="shared" si="0"/>
        <v>34305.869</v>
      </c>
      <c r="C25" s="68">
        <f>'июль факт'!C25+'август факт'!C25+'сентябрь факт'!C25</f>
        <v>19571.799</v>
      </c>
      <c r="D25" s="68">
        <f>'июль факт'!D25+'август факт'!D25+'сентябрь факт'!D25</f>
        <v>0</v>
      </c>
      <c r="E25" s="68">
        <f>'июль факт'!E25+'август факт'!E25+'сентябрь факт'!E25</f>
        <v>5103.456</v>
      </c>
      <c r="F25" s="69">
        <f>'июль факт'!F25+'август факт'!F25+'сентябрь факт'!F25</f>
        <v>9630.614000000001</v>
      </c>
      <c r="G25" s="13"/>
      <c r="H25" s="35"/>
    </row>
    <row r="26" spans="1:8" s="4" customFormat="1" ht="19.5" customHeight="1">
      <c r="A26" s="15" t="s">
        <v>13</v>
      </c>
      <c r="B26" s="5">
        <f t="shared" si="0"/>
        <v>27318.504</v>
      </c>
      <c r="C26" s="68">
        <f>'июль факт'!C26+'август факт'!C26+'сентябрь факт'!C26</f>
        <v>19571.799</v>
      </c>
      <c r="D26" s="68">
        <f>'июль факт'!D26+'август факт'!D26+'сентябрь факт'!D26</f>
        <v>0</v>
      </c>
      <c r="E26" s="68">
        <f>'июль факт'!E26+'август факт'!E26+'сентябрь факт'!E26</f>
        <v>4947.519</v>
      </c>
      <c r="F26" s="69">
        <f>'июль факт'!F26+'август факт'!F26+'сентябрь факт'!F26</f>
        <v>2799.186</v>
      </c>
      <c r="G26" s="13"/>
      <c r="H26" s="35"/>
    </row>
    <row r="27" spans="1:8" s="4" customFormat="1" ht="24.75" customHeight="1">
      <c r="A27" s="15" t="s">
        <v>10</v>
      </c>
      <c r="B27" s="5">
        <f t="shared" si="0"/>
        <v>6987.365</v>
      </c>
      <c r="C27" s="68">
        <f>'июль факт'!C27+'август факт'!C27+'сентябрь факт'!C27</f>
        <v>0</v>
      </c>
      <c r="D27" s="68">
        <f>'июль факт'!D27+'август факт'!D27+'сентябрь факт'!D27</f>
        <v>0</v>
      </c>
      <c r="E27" s="68">
        <f>'июль факт'!E27+'август факт'!E27+'сентябрь факт'!E27</f>
        <v>155.937</v>
      </c>
      <c r="F27" s="69">
        <f>'июль факт'!F27+'август факт'!F27+'сентябрь факт'!F27</f>
        <v>6831.428</v>
      </c>
      <c r="G27" s="13"/>
      <c r="H27" s="35"/>
    </row>
    <row r="28" spans="1:8" s="4" customFormat="1" ht="25.5" customHeight="1">
      <c r="A28" s="15" t="s">
        <v>11</v>
      </c>
      <c r="B28" s="5">
        <f t="shared" si="0"/>
        <v>6810.974</v>
      </c>
      <c r="C28" s="68">
        <f>'июль факт'!C28+'август факт'!C28+'сентябрь факт'!C28</f>
        <v>0</v>
      </c>
      <c r="D28" s="68">
        <f>'июль факт'!D28+'август факт'!D28+'сентябрь факт'!D28</f>
        <v>0</v>
      </c>
      <c r="E28" s="68">
        <f>'июль факт'!E28+'август факт'!E28+'сентябрь факт'!E28</f>
        <v>155.937</v>
      </c>
      <c r="F28" s="69">
        <f>'июль факт'!F28+'август факт'!F28+'сентябрь факт'!F28</f>
        <v>6655.037</v>
      </c>
      <c r="G28" s="13"/>
      <c r="H28" s="35"/>
    </row>
    <row r="29" spans="1:8" s="4" customFormat="1" ht="20.25" customHeight="1">
      <c r="A29" s="15" t="s">
        <v>12</v>
      </c>
      <c r="B29" s="5">
        <f t="shared" si="0"/>
        <v>176.391</v>
      </c>
      <c r="C29" s="68">
        <f>'июль факт'!C29+'август факт'!C29+'сентябрь факт'!C29</f>
        <v>0</v>
      </c>
      <c r="D29" s="68">
        <f>'июль факт'!D29+'август факт'!D29+'сентябрь факт'!D29</f>
        <v>0</v>
      </c>
      <c r="E29" s="68">
        <f>'июль факт'!E29+'август факт'!E29+'сентябрь факт'!E29</f>
        <v>0</v>
      </c>
      <c r="F29" s="69">
        <f>'июль факт'!F29+'август факт'!F29+'сентябрь факт'!F29</f>
        <v>176.391</v>
      </c>
      <c r="G29" s="13"/>
      <c r="H29" s="35"/>
    </row>
    <row r="30" spans="1:8" s="4" customFormat="1" ht="50.25" customHeight="1">
      <c r="A30" s="58" t="s">
        <v>38</v>
      </c>
      <c r="B30" s="5">
        <f t="shared" si="0"/>
        <v>286.741</v>
      </c>
      <c r="C30" s="68">
        <f>'июль факт'!C30+'август факт'!C30+'сентябрь факт'!C30</f>
        <v>0</v>
      </c>
      <c r="D30" s="68">
        <f>'июль факт'!D30+'август факт'!D30+'сентябрь факт'!D30</f>
        <v>0</v>
      </c>
      <c r="E30" s="68">
        <f>'июль факт'!E30+'август факт'!E30+'сентябрь факт'!E30</f>
        <v>159.257</v>
      </c>
      <c r="F30" s="69">
        <f>'июль факт'!F30+'август факт'!F30+'сентябрь факт'!F30</f>
        <v>127.484</v>
      </c>
      <c r="G30" s="7"/>
      <c r="H30" s="25"/>
    </row>
    <row r="31" spans="1:8" s="4" customFormat="1" ht="22.5" customHeight="1">
      <c r="A31" s="15" t="s">
        <v>13</v>
      </c>
      <c r="B31" s="5">
        <f t="shared" si="0"/>
        <v>223.982</v>
      </c>
      <c r="C31" s="68">
        <f>'июль факт'!C31+'август факт'!C31+'сентябрь факт'!C31</f>
        <v>0</v>
      </c>
      <c r="D31" s="68">
        <f>'июль факт'!D31+'август факт'!D31+'сентябрь факт'!D31</f>
        <v>0</v>
      </c>
      <c r="E31" s="68">
        <f>'июль факт'!E31+'август факт'!E31+'сентябрь факт'!E31</f>
        <v>159.257</v>
      </c>
      <c r="F31" s="69">
        <f>'июль факт'!F31+'август факт'!F31+'сентябрь факт'!F31</f>
        <v>64.725</v>
      </c>
      <c r="G31" s="7"/>
      <c r="H31" s="25"/>
    </row>
    <row r="32" spans="1:8" s="4" customFormat="1" ht="24.75" customHeight="1">
      <c r="A32" s="15" t="s">
        <v>10</v>
      </c>
      <c r="B32" s="5">
        <f t="shared" si="0"/>
        <v>62.75899999999999</v>
      </c>
      <c r="C32" s="68">
        <f>'июль факт'!C32+'август факт'!C32+'сентябрь факт'!C32</f>
        <v>0</v>
      </c>
      <c r="D32" s="68">
        <f>'июль факт'!D32+'август факт'!D32+'сентябрь факт'!D32</f>
        <v>0</v>
      </c>
      <c r="E32" s="68">
        <f>'июль факт'!E32+'август факт'!E32+'сентябрь факт'!E32</f>
        <v>0</v>
      </c>
      <c r="F32" s="69">
        <f>'июль факт'!F32+'август факт'!F32+'сентябрь факт'!F32</f>
        <v>62.75899999999999</v>
      </c>
      <c r="G32" s="7"/>
      <c r="H32" s="25"/>
    </row>
    <row r="33" spans="1:8" s="4" customFormat="1" ht="18" customHeight="1">
      <c r="A33" s="15" t="s">
        <v>11</v>
      </c>
      <c r="B33" s="5">
        <f t="shared" si="0"/>
        <v>48.86</v>
      </c>
      <c r="C33" s="68">
        <f>'июль факт'!C33+'август факт'!C33+'сентябрь факт'!C33</f>
        <v>0</v>
      </c>
      <c r="D33" s="68">
        <f>'июль факт'!D33+'август факт'!D33+'сентябрь факт'!D33</f>
        <v>0</v>
      </c>
      <c r="E33" s="68">
        <f>'июль факт'!E33+'август факт'!E33+'сентябрь факт'!E33</f>
        <v>0</v>
      </c>
      <c r="F33" s="69">
        <f>'июль факт'!F33+'август факт'!F33+'сентябрь факт'!F33</f>
        <v>48.86</v>
      </c>
      <c r="G33" s="7"/>
      <c r="H33" s="25"/>
    </row>
    <row r="34" spans="1:8" s="4" customFormat="1" ht="18" customHeight="1">
      <c r="A34" s="15" t="s">
        <v>12</v>
      </c>
      <c r="B34" s="5">
        <f t="shared" si="0"/>
        <v>13.899000000000001</v>
      </c>
      <c r="C34" s="68">
        <f>'июль факт'!C34+'август факт'!C34+'сентябрь факт'!C34</f>
        <v>0</v>
      </c>
      <c r="D34" s="68">
        <f>'июль факт'!D34+'август факт'!D34+'сентябрь факт'!D34</f>
        <v>0</v>
      </c>
      <c r="E34" s="68">
        <f>'июль факт'!E34+'август факт'!E34+'сентябрь факт'!E34</f>
        <v>0</v>
      </c>
      <c r="F34" s="69">
        <f>'июль факт'!F34+'август факт'!F34+'сентябрь факт'!F34</f>
        <v>13.899000000000001</v>
      </c>
      <c r="G34" s="7"/>
      <c r="H34" s="25"/>
    </row>
    <row r="35" spans="1:8" s="4" customFormat="1" ht="25.5" customHeight="1">
      <c r="A35" s="58" t="s">
        <v>39</v>
      </c>
      <c r="B35" s="5">
        <f t="shared" si="0"/>
        <v>284.214</v>
      </c>
      <c r="C35" s="68">
        <f>'июль факт'!C35+'август факт'!C35+'сентябрь факт'!C35</f>
        <v>0</v>
      </c>
      <c r="D35" s="68">
        <f>'июль факт'!D35+'август факт'!D35+'сентябрь факт'!D35</f>
        <v>0</v>
      </c>
      <c r="E35" s="68">
        <f>'июль факт'!E35+'август факт'!E35+'сентябрь факт'!E35</f>
        <v>0</v>
      </c>
      <c r="F35" s="69">
        <f>'июль факт'!F35+'август факт'!F35+'сентябрь факт'!F35</f>
        <v>284.214</v>
      </c>
      <c r="G35" s="7"/>
      <c r="H35" s="25"/>
    </row>
    <row r="36" spans="1:8" s="4" customFormat="1" ht="23.25" customHeight="1">
      <c r="A36" s="15" t="s">
        <v>13</v>
      </c>
      <c r="B36" s="5">
        <f t="shared" si="0"/>
        <v>242.25400000000002</v>
      </c>
      <c r="C36" s="68">
        <f>'июль факт'!C36+'август факт'!C36+'сентябрь факт'!C36</f>
        <v>0</v>
      </c>
      <c r="D36" s="68">
        <f>'июль факт'!D36+'август факт'!D36+'сентябрь факт'!D36</f>
        <v>0</v>
      </c>
      <c r="E36" s="68">
        <f>'июль факт'!E36+'август факт'!E36+'сентябрь факт'!E36</f>
        <v>0</v>
      </c>
      <c r="F36" s="69">
        <f>'июль факт'!F36+'август факт'!F36+'сентябрь факт'!F36</f>
        <v>242.25400000000002</v>
      </c>
      <c r="G36" s="7"/>
      <c r="H36" s="25"/>
    </row>
    <row r="37" spans="1:8" s="4" customFormat="1" ht="23.25" customHeight="1">
      <c r="A37" s="15" t="s">
        <v>10</v>
      </c>
      <c r="B37" s="5">
        <f t="shared" si="0"/>
        <v>41.96</v>
      </c>
      <c r="C37" s="68">
        <f>'июль факт'!C37+'август факт'!C37+'сентябрь факт'!C37</f>
        <v>0</v>
      </c>
      <c r="D37" s="68">
        <f>'июль факт'!D37+'август факт'!D37+'сентябрь факт'!D37</f>
        <v>0</v>
      </c>
      <c r="E37" s="68">
        <f>'июль факт'!E37+'август факт'!E37+'сентябрь факт'!E37</f>
        <v>0</v>
      </c>
      <c r="F37" s="69">
        <f>'июль факт'!F37+'август факт'!F37+'сентябрь факт'!F37</f>
        <v>41.96</v>
      </c>
      <c r="G37" s="7"/>
      <c r="H37" s="25"/>
    </row>
    <row r="38" spans="1:8" s="4" customFormat="1" ht="23.25" customHeight="1">
      <c r="A38" s="15" t="s">
        <v>11</v>
      </c>
      <c r="B38" s="5">
        <f t="shared" si="0"/>
        <v>0</v>
      </c>
      <c r="C38" s="68">
        <f>'июль факт'!C38+'август факт'!C38+'сентябрь факт'!C38</f>
        <v>0</v>
      </c>
      <c r="D38" s="68">
        <f>'июль факт'!D38+'август факт'!D38+'сентябрь факт'!D38</f>
        <v>0</v>
      </c>
      <c r="E38" s="68">
        <f>'июль факт'!E38+'август факт'!E38+'сентябрь факт'!E38</f>
        <v>0</v>
      </c>
      <c r="F38" s="69">
        <f>'июль факт'!F38+'август факт'!F38+'сентябрь факт'!F38</f>
        <v>0</v>
      </c>
      <c r="G38" s="7"/>
      <c r="H38" s="25"/>
    </row>
    <row r="39" spans="1:8" s="4" customFormat="1" ht="23.25" customHeight="1">
      <c r="A39" s="15" t="s">
        <v>12</v>
      </c>
      <c r="B39" s="5">
        <f t="shared" si="0"/>
        <v>41.96</v>
      </c>
      <c r="C39" s="68">
        <f>'июль факт'!C39+'август факт'!C39+'сентябрь факт'!C39</f>
        <v>0</v>
      </c>
      <c r="D39" s="68">
        <f>'июль факт'!D39+'август факт'!D39+'сентябрь факт'!D39</f>
        <v>0</v>
      </c>
      <c r="E39" s="68">
        <f>'июль факт'!E39+'август факт'!E39+'сентябрь факт'!E39</f>
        <v>0</v>
      </c>
      <c r="F39" s="69">
        <f>'июль факт'!F39+'август факт'!F39+'сентябрь факт'!F39</f>
        <v>41.96</v>
      </c>
      <c r="G39" s="7"/>
      <c r="H39" s="25"/>
    </row>
    <row r="40" spans="1:9" s="4" customFormat="1" ht="42" customHeight="1">
      <c r="A40" s="58" t="s">
        <v>24</v>
      </c>
      <c r="B40" s="5">
        <f>C40+D40+E40+F40</f>
        <v>0</v>
      </c>
      <c r="C40" s="68">
        <f>'июль факт'!C40+'август факт'!C40+'сентябрь факт'!C40</f>
        <v>0</v>
      </c>
      <c r="D40" s="68">
        <f>'июль факт'!D40+'август факт'!D40+'сентябрь факт'!D40</f>
        <v>0</v>
      </c>
      <c r="E40" s="68">
        <f>'июль факт'!E40+'август факт'!E40+'сентябрь факт'!E40</f>
        <v>0</v>
      </c>
      <c r="F40" s="69">
        <f>'июль факт'!F40+'август факт'!F40+'сентябрь факт'!F40</f>
        <v>0</v>
      </c>
      <c r="G40" s="7"/>
      <c r="H40" s="35"/>
      <c r="I40" s="7"/>
    </row>
    <row r="41" spans="1:8" s="4" customFormat="1" ht="19.5" customHeight="1">
      <c r="A41" s="15" t="s">
        <v>13</v>
      </c>
      <c r="B41" s="5">
        <f aca="true" t="shared" si="1" ref="B41:B89">C41+D41+E41+F41</f>
        <v>0</v>
      </c>
      <c r="C41" s="68">
        <f>'июль факт'!C41+'август факт'!C41+'сентябрь факт'!C41</f>
        <v>0</v>
      </c>
      <c r="D41" s="68">
        <f>'июль факт'!D41+'август факт'!D41+'сентябрь факт'!D41</f>
        <v>0</v>
      </c>
      <c r="E41" s="68">
        <f>'июль факт'!E41+'август факт'!E41+'сентябрь факт'!E41</f>
        <v>0</v>
      </c>
      <c r="F41" s="69">
        <f>'июль факт'!F41+'август факт'!F41+'сентябрь факт'!F41</f>
        <v>0</v>
      </c>
      <c r="G41" s="7"/>
      <c r="H41" s="35"/>
    </row>
    <row r="42" spans="1:8" s="4" customFormat="1" ht="19.5" customHeight="1">
      <c r="A42" s="15" t="s">
        <v>10</v>
      </c>
      <c r="B42" s="5">
        <f t="shared" si="1"/>
        <v>0</v>
      </c>
      <c r="C42" s="68">
        <f>'июль факт'!C42+'август факт'!C42+'сентябрь факт'!C42</f>
        <v>0</v>
      </c>
      <c r="D42" s="68">
        <f>'июль факт'!D42+'август факт'!D42+'сентябрь факт'!D42</f>
        <v>0</v>
      </c>
      <c r="E42" s="68">
        <f>'июль факт'!E42+'август факт'!E42+'сентябрь факт'!E42</f>
        <v>0</v>
      </c>
      <c r="F42" s="69">
        <f>'июль факт'!F42+'август факт'!F42+'сентябрь факт'!F42</f>
        <v>0</v>
      </c>
      <c r="G42" s="7"/>
      <c r="H42" s="35"/>
    </row>
    <row r="43" spans="1:8" s="4" customFormat="1" ht="19.5" customHeight="1">
      <c r="A43" s="15" t="s">
        <v>11</v>
      </c>
      <c r="B43" s="5">
        <f t="shared" si="1"/>
        <v>0</v>
      </c>
      <c r="C43" s="68">
        <f>'июль факт'!C43+'август факт'!C43+'сентябрь факт'!C43</f>
        <v>0</v>
      </c>
      <c r="D43" s="68">
        <f>'июль факт'!D43+'август факт'!D43+'сентябрь факт'!D43</f>
        <v>0</v>
      </c>
      <c r="E43" s="68">
        <f>'июль факт'!E43+'август факт'!E43+'сентябрь факт'!E43</f>
        <v>0</v>
      </c>
      <c r="F43" s="69">
        <f>'июль факт'!F43+'август факт'!F43+'сентябрь факт'!F43</f>
        <v>0</v>
      </c>
      <c r="G43" s="7"/>
      <c r="H43" s="35"/>
    </row>
    <row r="44" spans="1:8" s="4" customFormat="1" ht="19.5" customHeight="1">
      <c r="A44" s="15" t="s">
        <v>12</v>
      </c>
      <c r="B44" s="5">
        <f t="shared" si="1"/>
        <v>0</v>
      </c>
      <c r="C44" s="68">
        <f>'июль факт'!C44+'август факт'!C44+'сентябрь факт'!C44</f>
        <v>0</v>
      </c>
      <c r="D44" s="68">
        <f>'июль факт'!D44+'август факт'!D44+'сентябрь факт'!D44</f>
        <v>0</v>
      </c>
      <c r="E44" s="68">
        <f>'июль факт'!E44+'август факт'!E44+'сентябрь факт'!E44</f>
        <v>0</v>
      </c>
      <c r="F44" s="69">
        <f>'июль факт'!F44+'август факт'!F44+'сентябрь факт'!F44</f>
        <v>0</v>
      </c>
      <c r="G44" s="7"/>
      <c r="H44" s="35"/>
    </row>
    <row r="45" spans="1:8" s="4" customFormat="1" ht="24.75" customHeight="1">
      <c r="A45" s="27" t="s">
        <v>26</v>
      </c>
      <c r="B45" s="5">
        <f t="shared" si="1"/>
        <v>1529.55</v>
      </c>
      <c r="C45" s="68">
        <f>'июль факт'!C45+'август факт'!C45+'сентябрь факт'!C45</f>
        <v>0</v>
      </c>
      <c r="D45" s="68">
        <f>'июль факт'!D45+'август факт'!D45+'сентябрь факт'!D45</f>
        <v>0</v>
      </c>
      <c r="E45" s="68">
        <f>'июль факт'!E45+'август факт'!E45+'сентябрь факт'!E45</f>
        <v>1206.854</v>
      </c>
      <c r="F45" s="69">
        <f>'июль факт'!F45+'август факт'!F45+'сентябрь факт'!F45</f>
        <v>322.69599999999997</v>
      </c>
      <c r="G45" s="13"/>
      <c r="H45" s="35"/>
    </row>
    <row r="46" spans="1:8" s="4" customFormat="1" ht="24.75" customHeight="1">
      <c r="A46" s="15" t="s">
        <v>13</v>
      </c>
      <c r="B46" s="5">
        <f t="shared" si="1"/>
        <v>1529.55</v>
      </c>
      <c r="C46" s="68">
        <f>'июль факт'!C46+'август факт'!C46+'сентябрь факт'!C46</f>
        <v>0</v>
      </c>
      <c r="D46" s="68">
        <f>'июль факт'!D46+'август факт'!D46+'сентябрь факт'!D46</f>
        <v>0</v>
      </c>
      <c r="E46" s="68">
        <f>'июль факт'!E46+'август факт'!E46+'сентябрь факт'!E46</f>
        <v>1206.854</v>
      </c>
      <c r="F46" s="69">
        <f>'июль факт'!F46+'август факт'!F46+'сентябрь факт'!F46</f>
        <v>322.69599999999997</v>
      </c>
      <c r="G46" s="13"/>
      <c r="H46" s="35"/>
    </row>
    <row r="47" spans="1:8" s="4" customFormat="1" ht="24.75" customHeight="1">
      <c r="A47" s="15" t="s">
        <v>10</v>
      </c>
      <c r="B47" s="5">
        <f t="shared" si="1"/>
        <v>0</v>
      </c>
      <c r="C47" s="68">
        <f>'июль факт'!C47+'август факт'!C47+'сентябрь факт'!C47</f>
        <v>0</v>
      </c>
      <c r="D47" s="68">
        <f>'июль факт'!D47+'август факт'!D47+'сентябрь факт'!D47</f>
        <v>0</v>
      </c>
      <c r="E47" s="68">
        <f>'июль факт'!E47+'август факт'!E47+'сентябрь факт'!E47</f>
        <v>0</v>
      </c>
      <c r="F47" s="69">
        <f>'июль факт'!F47+'август факт'!F47+'сентябрь факт'!F47</f>
        <v>0</v>
      </c>
      <c r="G47" s="13"/>
      <c r="H47" s="35"/>
    </row>
    <row r="48" spans="1:8" s="4" customFormat="1" ht="24.75" customHeight="1">
      <c r="A48" s="15" t="s">
        <v>11</v>
      </c>
      <c r="B48" s="5">
        <f t="shared" si="1"/>
        <v>0</v>
      </c>
      <c r="C48" s="68">
        <f>'июль факт'!C48+'август факт'!C48+'сентябрь факт'!C48</f>
        <v>0</v>
      </c>
      <c r="D48" s="68">
        <f>'июль факт'!D48+'август факт'!D48+'сентябрь факт'!D48</f>
        <v>0</v>
      </c>
      <c r="E48" s="68">
        <f>'июль факт'!E48+'август факт'!E48+'сентябрь факт'!E48</f>
        <v>0</v>
      </c>
      <c r="F48" s="69">
        <f>'июль факт'!F48+'август факт'!F48+'сентябрь факт'!F48</f>
        <v>0</v>
      </c>
      <c r="G48" s="13"/>
      <c r="H48" s="35"/>
    </row>
    <row r="49" spans="1:8" s="4" customFormat="1" ht="24.75" customHeight="1">
      <c r="A49" s="15" t="s">
        <v>12</v>
      </c>
      <c r="B49" s="5">
        <f t="shared" si="1"/>
        <v>0</v>
      </c>
      <c r="C49" s="68">
        <f>'июль факт'!C49+'август факт'!C49+'сентябрь факт'!C49</f>
        <v>0</v>
      </c>
      <c r="D49" s="68">
        <f>'июль факт'!D49+'август факт'!D49+'сентябрь факт'!D49</f>
        <v>0</v>
      </c>
      <c r="E49" s="68">
        <f>'июль факт'!E49+'август факт'!E49+'сентябрь факт'!E49</f>
        <v>0</v>
      </c>
      <c r="F49" s="69">
        <f>'июль факт'!F49+'август факт'!F49+'сентябрь факт'!F49</f>
        <v>0</v>
      </c>
      <c r="G49" s="13"/>
      <c r="H49" s="35"/>
    </row>
    <row r="50" spans="1:8" s="4" customFormat="1" ht="24.75" customHeight="1">
      <c r="A50" s="27" t="s">
        <v>4</v>
      </c>
      <c r="B50" s="5">
        <f t="shared" si="1"/>
        <v>2186.517</v>
      </c>
      <c r="C50" s="68">
        <f>'июль факт'!C50+'август факт'!C50+'сентябрь факт'!C50</f>
        <v>2186.517</v>
      </c>
      <c r="D50" s="68">
        <f>'июль факт'!D50+'август факт'!D50+'сентябрь факт'!D50</f>
        <v>0</v>
      </c>
      <c r="E50" s="68">
        <f>'июль факт'!E50+'август факт'!E50+'сентябрь факт'!E50</f>
        <v>0</v>
      </c>
      <c r="F50" s="69">
        <f>'июль факт'!F50+'август факт'!F50+'сентябрь факт'!F50</f>
        <v>0</v>
      </c>
      <c r="G50" s="13"/>
      <c r="H50" s="35"/>
    </row>
    <row r="51" spans="1:8" s="4" customFormat="1" ht="24.75" customHeight="1">
      <c r="A51" s="15" t="s">
        <v>13</v>
      </c>
      <c r="B51" s="5">
        <f t="shared" si="1"/>
        <v>2186.517</v>
      </c>
      <c r="C51" s="68">
        <f>'июль факт'!C51+'август факт'!C51+'сентябрь факт'!C51</f>
        <v>2186.517</v>
      </c>
      <c r="D51" s="68">
        <f>'июль факт'!D51+'август факт'!D51+'сентябрь факт'!D51</f>
        <v>0</v>
      </c>
      <c r="E51" s="68">
        <f>'июль факт'!E51+'август факт'!E51+'сентябрь факт'!E51</f>
        <v>0</v>
      </c>
      <c r="F51" s="69">
        <f>'июль факт'!F51+'август факт'!F51+'сентябрь факт'!F51</f>
        <v>0</v>
      </c>
      <c r="G51" s="13"/>
      <c r="H51" s="35"/>
    </row>
    <row r="52" spans="1:8" s="4" customFormat="1" ht="24.75" customHeight="1">
      <c r="A52" s="15" t="s">
        <v>10</v>
      </c>
      <c r="B52" s="5">
        <f t="shared" si="1"/>
        <v>0</v>
      </c>
      <c r="C52" s="68">
        <f>'июль факт'!C52+'август факт'!C52+'сентябрь факт'!C52</f>
        <v>0</v>
      </c>
      <c r="D52" s="68">
        <f>'июль факт'!D52+'август факт'!D52+'сентябрь факт'!D52</f>
        <v>0</v>
      </c>
      <c r="E52" s="68">
        <f>'июль факт'!E52+'август факт'!E52+'сентябрь факт'!E52</f>
        <v>0</v>
      </c>
      <c r="F52" s="69">
        <f>'июль факт'!F52+'август факт'!F52+'сентябрь факт'!F52</f>
        <v>0</v>
      </c>
      <c r="G52" s="13"/>
      <c r="H52" s="35"/>
    </row>
    <row r="53" spans="1:8" s="4" customFormat="1" ht="24.75" customHeight="1">
      <c r="A53" s="15" t="s">
        <v>11</v>
      </c>
      <c r="B53" s="5">
        <f t="shared" si="1"/>
        <v>0</v>
      </c>
      <c r="C53" s="68">
        <f>'июль факт'!C53+'август факт'!C53+'сентябрь факт'!C53</f>
        <v>0</v>
      </c>
      <c r="D53" s="68">
        <f>'июль факт'!D53+'август факт'!D53+'сентябрь факт'!D53</f>
        <v>0</v>
      </c>
      <c r="E53" s="68">
        <f>'июль факт'!E53+'август факт'!E53+'сентябрь факт'!E53</f>
        <v>0</v>
      </c>
      <c r="F53" s="69">
        <f>'июль факт'!F53+'август факт'!F53+'сентябрь факт'!F53</f>
        <v>0</v>
      </c>
      <c r="G53" s="13"/>
      <c r="H53" s="35"/>
    </row>
    <row r="54" spans="1:8" s="4" customFormat="1" ht="24.75" customHeight="1">
      <c r="A54" s="15" t="s">
        <v>12</v>
      </c>
      <c r="B54" s="5">
        <f t="shared" si="1"/>
        <v>0</v>
      </c>
      <c r="C54" s="68">
        <f>'июль факт'!C54+'август факт'!C54+'сентябрь факт'!C54</f>
        <v>0</v>
      </c>
      <c r="D54" s="68">
        <f>'июль факт'!D54+'август факт'!D54+'сентябрь факт'!D54</f>
        <v>0</v>
      </c>
      <c r="E54" s="68">
        <f>'июль факт'!E54+'август факт'!E54+'сентябрь факт'!E54</f>
        <v>0</v>
      </c>
      <c r="F54" s="69">
        <f>'июль факт'!F54+'август факт'!F54+'сентябрь факт'!F54</f>
        <v>0</v>
      </c>
      <c r="G54" s="13"/>
      <c r="H54" s="35"/>
    </row>
    <row r="55" spans="1:8" s="4" customFormat="1" ht="50.25" customHeight="1">
      <c r="A55" s="58" t="s">
        <v>40</v>
      </c>
      <c r="B55" s="5">
        <f t="shared" si="1"/>
        <v>4979.9310000000005</v>
      </c>
      <c r="C55" s="68">
        <f>'июль факт'!C55+'август факт'!C55+'сентябрь факт'!C55</f>
        <v>2933.712</v>
      </c>
      <c r="D55" s="68">
        <f>'июль факт'!D55+'август факт'!D55+'сентябрь факт'!D55</f>
        <v>0</v>
      </c>
      <c r="E55" s="68">
        <f>'июль факт'!E55+'август факт'!E55+'сентябрь факт'!E55</f>
        <v>821.6780000000001</v>
      </c>
      <c r="F55" s="69">
        <f>'июль факт'!F55+'август факт'!F55+'сентябрь факт'!F55</f>
        <v>1224.541</v>
      </c>
      <c r="G55" s="13"/>
      <c r="H55" s="35"/>
    </row>
    <row r="56" spans="1:8" s="4" customFormat="1" ht="26.25" customHeight="1">
      <c r="A56" s="15" t="s">
        <v>13</v>
      </c>
      <c r="B56" s="5">
        <f t="shared" si="1"/>
        <v>4105.058</v>
      </c>
      <c r="C56" s="68">
        <f>'июль факт'!C56+'август факт'!C56+'сентябрь факт'!C56</f>
        <v>2933.712</v>
      </c>
      <c r="D56" s="68">
        <f>'июль факт'!D56+'август факт'!D56+'сентябрь факт'!D56</f>
        <v>0</v>
      </c>
      <c r="E56" s="68">
        <f>'июль факт'!E56+'август факт'!E56+'сентябрь факт'!E56</f>
        <v>821.6780000000001</v>
      </c>
      <c r="F56" s="69">
        <f>'июль факт'!F56+'август факт'!F56+'сентябрь факт'!F56</f>
        <v>349.668</v>
      </c>
      <c r="G56" s="13"/>
      <c r="H56" s="35"/>
    </row>
    <row r="57" spans="1:8" s="4" customFormat="1" ht="26.25" customHeight="1">
      <c r="A57" s="15" t="s">
        <v>10</v>
      </c>
      <c r="B57" s="5">
        <f t="shared" si="1"/>
        <v>874.8729999999999</v>
      </c>
      <c r="C57" s="68">
        <f>'июль факт'!C57+'август факт'!C57+'сентябрь факт'!C57</f>
        <v>0</v>
      </c>
      <c r="D57" s="68">
        <f>'июль факт'!D57+'август факт'!D57+'сентябрь факт'!D57</f>
        <v>0</v>
      </c>
      <c r="E57" s="68">
        <f>'июль факт'!E57+'август факт'!E57+'сентябрь факт'!E57</f>
        <v>0</v>
      </c>
      <c r="F57" s="69">
        <f>'июль факт'!F57+'август факт'!F57+'сентябрь факт'!F57</f>
        <v>874.8729999999999</v>
      </c>
      <c r="G57" s="13"/>
      <c r="H57" s="35"/>
    </row>
    <row r="58" spans="1:8" s="4" customFormat="1" ht="26.25" customHeight="1">
      <c r="A58" s="15" t="s">
        <v>11</v>
      </c>
      <c r="B58" s="5">
        <f t="shared" si="1"/>
        <v>796.935</v>
      </c>
      <c r="C58" s="68">
        <f>'июль факт'!C58+'август факт'!C58+'сентябрь факт'!C58</f>
        <v>0</v>
      </c>
      <c r="D58" s="68">
        <f>'июль факт'!D58+'август факт'!D58+'сентябрь факт'!D58</f>
        <v>0</v>
      </c>
      <c r="E58" s="68">
        <f>'июль факт'!E58+'август факт'!E58+'сентябрь факт'!E58</f>
        <v>0</v>
      </c>
      <c r="F58" s="69">
        <f>'июль факт'!F58+'август факт'!F58+'сентябрь факт'!F58</f>
        <v>796.935</v>
      </c>
      <c r="G58" s="13"/>
      <c r="H58" s="35"/>
    </row>
    <row r="59" spans="1:8" s="4" customFormat="1" ht="26.25" customHeight="1">
      <c r="A59" s="15" t="s">
        <v>12</v>
      </c>
      <c r="B59" s="5">
        <f t="shared" si="1"/>
        <v>77.938</v>
      </c>
      <c r="C59" s="68">
        <f>'июль факт'!C59+'август факт'!C59+'сентябрь факт'!C59</f>
        <v>0</v>
      </c>
      <c r="D59" s="68">
        <f>'июль факт'!D59+'август факт'!D59+'сентябрь факт'!D59</f>
        <v>0</v>
      </c>
      <c r="E59" s="68">
        <f>'июль факт'!E59+'август факт'!E59+'сентябрь факт'!E59</f>
        <v>0</v>
      </c>
      <c r="F59" s="69">
        <f>'июль факт'!F59+'август факт'!F59+'сентябрь факт'!F59</f>
        <v>77.938</v>
      </c>
      <c r="G59" s="13"/>
      <c r="H59" s="35"/>
    </row>
    <row r="60" spans="1:8" s="4" customFormat="1" ht="24.75" customHeight="1">
      <c r="A60" s="58" t="s">
        <v>25</v>
      </c>
      <c r="B60" s="5">
        <f t="shared" si="1"/>
        <v>6177.392</v>
      </c>
      <c r="C60" s="68">
        <f>'июль факт'!C60+'август факт'!C60+'сентябрь факт'!C60</f>
        <v>6153.326</v>
      </c>
      <c r="D60" s="68">
        <f>'июль факт'!D60+'август факт'!D60+'сентябрь факт'!D60</f>
        <v>0</v>
      </c>
      <c r="E60" s="68">
        <f>'июль факт'!E60+'август факт'!E60+'сентябрь факт'!E60</f>
        <v>0</v>
      </c>
      <c r="F60" s="69">
        <f>'июль факт'!F60+'август факт'!F60+'сентябрь факт'!F60</f>
        <v>24.066</v>
      </c>
      <c r="G60" s="7"/>
      <c r="H60" s="35"/>
    </row>
    <row r="61" spans="1:8" s="4" customFormat="1" ht="21.75" customHeight="1">
      <c r="A61" s="15" t="s">
        <v>13</v>
      </c>
      <c r="B61" s="5">
        <f t="shared" si="1"/>
        <v>6177.392</v>
      </c>
      <c r="C61" s="68">
        <f>'июль факт'!C61+'август факт'!C61+'сентябрь факт'!C61</f>
        <v>6153.326</v>
      </c>
      <c r="D61" s="68">
        <f>'июль факт'!D61+'август факт'!D61+'сентябрь факт'!D61</f>
        <v>0</v>
      </c>
      <c r="E61" s="68">
        <f>'июль факт'!E61+'август факт'!E61+'сентябрь факт'!E61</f>
        <v>0</v>
      </c>
      <c r="F61" s="69">
        <f>'июль факт'!F61+'август факт'!F61+'сентябрь факт'!F61</f>
        <v>24.066</v>
      </c>
      <c r="G61" s="7"/>
      <c r="H61" s="31"/>
    </row>
    <row r="62" spans="1:8" s="4" customFormat="1" ht="16.5" customHeight="1">
      <c r="A62" s="15" t="s">
        <v>10</v>
      </c>
      <c r="B62" s="5">
        <f t="shared" si="1"/>
        <v>0</v>
      </c>
      <c r="C62" s="68">
        <f>'июль факт'!C62+'август факт'!C62+'сентябрь факт'!C62</f>
        <v>0</v>
      </c>
      <c r="D62" s="68">
        <f>'июль факт'!D62+'август факт'!D62+'сентябрь факт'!D62</f>
        <v>0</v>
      </c>
      <c r="E62" s="68">
        <f>'июль факт'!E62+'август факт'!E62+'сентябрь факт'!E62</f>
        <v>0</v>
      </c>
      <c r="F62" s="69">
        <f>'июль факт'!F62+'август факт'!F62+'сентябрь факт'!F62</f>
        <v>0</v>
      </c>
      <c r="G62" s="7"/>
      <c r="H62" s="31"/>
    </row>
    <row r="63" spans="1:8" s="4" customFormat="1" ht="18" customHeight="1">
      <c r="A63" s="15" t="s">
        <v>11</v>
      </c>
      <c r="B63" s="5">
        <f t="shared" si="1"/>
        <v>0</v>
      </c>
      <c r="C63" s="68">
        <f>'июль факт'!C63+'август факт'!C63+'сентябрь факт'!C63</f>
        <v>0</v>
      </c>
      <c r="D63" s="68">
        <f>'июль факт'!D63+'август факт'!D63+'сентябрь факт'!D63</f>
        <v>0</v>
      </c>
      <c r="E63" s="68">
        <f>'июль факт'!E63+'август факт'!E63+'сентябрь факт'!E63</f>
        <v>0</v>
      </c>
      <c r="F63" s="69">
        <f>'июль факт'!F63+'август факт'!F63+'сентябрь факт'!F63</f>
        <v>0</v>
      </c>
      <c r="G63" s="7"/>
      <c r="H63" s="31"/>
    </row>
    <row r="64" spans="1:8" s="4" customFormat="1" ht="18" customHeight="1">
      <c r="A64" s="15" t="s">
        <v>12</v>
      </c>
      <c r="B64" s="5">
        <f t="shared" si="1"/>
        <v>0</v>
      </c>
      <c r="C64" s="68">
        <f>'июль факт'!C64+'август факт'!C64+'сентябрь факт'!C64</f>
        <v>0</v>
      </c>
      <c r="D64" s="68">
        <f>'июль факт'!D64+'август факт'!D64+'сентябрь факт'!D64</f>
        <v>0</v>
      </c>
      <c r="E64" s="68">
        <f>'июль факт'!E64+'август факт'!E64+'сентябрь факт'!E64</f>
        <v>0</v>
      </c>
      <c r="F64" s="69">
        <f>'июль факт'!F64+'август факт'!F64+'сентябрь факт'!F64</f>
        <v>0</v>
      </c>
      <c r="G64" s="7"/>
      <c r="H64" s="31"/>
    </row>
    <row r="65" spans="1:8" s="4" customFormat="1" ht="24.75" customHeight="1">
      <c r="A65" s="58" t="s">
        <v>41</v>
      </c>
      <c r="B65" s="5">
        <f t="shared" si="1"/>
        <v>49.194</v>
      </c>
      <c r="C65" s="68">
        <f>'июль факт'!C65+'август факт'!C65+'сентябрь факт'!C65</f>
        <v>0</v>
      </c>
      <c r="D65" s="68">
        <f>'июль факт'!D65+'август факт'!D65+'сентябрь факт'!D65</f>
        <v>0</v>
      </c>
      <c r="E65" s="68">
        <f>'июль факт'!E65+'август факт'!E65+'сентябрь факт'!E65</f>
        <v>49.194</v>
      </c>
      <c r="F65" s="69">
        <f>'июль факт'!F65+'август факт'!F65+'сентябрь факт'!F65</f>
        <v>0</v>
      </c>
      <c r="G65" s="7"/>
      <c r="H65" s="31"/>
    </row>
    <row r="66" spans="1:8" s="4" customFormat="1" ht="21.75" customHeight="1">
      <c r="A66" s="15" t="s">
        <v>13</v>
      </c>
      <c r="B66" s="5">
        <f t="shared" si="1"/>
        <v>49.194</v>
      </c>
      <c r="C66" s="68">
        <f>'июль факт'!C66+'август факт'!C66+'сентябрь факт'!C66</f>
        <v>0</v>
      </c>
      <c r="D66" s="68">
        <f>'июль факт'!D66+'август факт'!D66+'сентябрь факт'!D66</f>
        <v>0</v>
      </c>
      <c r="E66" s="68">
        <f>'июль факт'!E66+'август факт'!E66+'сентябрь факт'!E66</f>
        <v>49.194</v>
      </c>
      <c r="F66" s="69">
        <f>'июль факт'!F66+'август факт'!F66+'сентябрь факт'!F66</f>
        <v>0</v>
      </c>
      <c r="G66" s="7"/>
      <c r="H66" s="31"/>
    </row>
    <row r="67" spans="1:8" s="4" customFormat="1" ht="18" customHeight="1">
      <c r="A67" s="15" t="s">
        <v>10</v>
      </c>
      <c r="B67" s="5">
        <f t="shared" si="1"/>
        <v>0</v>
      </c>
      <c r="C67" s="68">
        <f>'июль факт'!C67+'август факт'!C67+'сентябрь факт'!C67</f>
        <v>0</v>
      </c>
      <c r="D67" s="68">
        <f>'июль факт'!D67+'август факт'!D67+'сентябрь факт'!D67</f>
        <v>0</v>
      </c>
      <c r="E67" s="68">
        <f>'июль факт'!E67+'август факт'!E67+'сентябрь факт'!E67</f>
        <v>0</v>
      </c>
      <c r="F67" s="69">
        <f>'июль факт'!F67+'август факт'!F67+'сентябрь факт'!F67</f>
        <v>0</v>
      </c>
      <c r="G67" s="7"/>
      <c r="H67" s="31"/>
    </row>
    <row r="68" spans="1:8" s="4" customFormat="1" ht="19.5" customHeight="1">
      <c r="A68" s="15" t="s">
        <v>11</v>
      </c>
      <c r="B68" s="5">
        <f t="shared" si="1"/>
        <v>0</v>
      </c>
      <c r="C68" s="68">
        <f>'июль факт'!C68+'август факт'!C68+'сентябрь факт'!C68</f>
        <v>0</v>
      </c>
      <c r="D68" s="68">
        <f>'июль факт'!D68+'август факт'!D68+'сентябрь факт'!D68</f>
        <v>0</v>
      </c>
      <c r="E68" s="68">
        <f>'июль факт'!E68+'август факт'!E68+'сентябрь факт'!E68</f>
        <v>0</v>
      </c>
      <c r="F68" s="69">
        <f>'июль факт'!F68+'август факт'!F68+'сентябрь факт'!F68</f>
        <v>0</v>
      </c>
      <c r="G68" s="7"/>
      <c r="H68" s="31"/>
    </row>
    <row r="69" spans="1:8" s="4" customFormat="1" ht="19.5" customHeight="1">
      <c r="A69" s="15" t="s">
        <v>12</v>
      </c>
      <c r="B69" s="5">
        <f t="shared" si="1"/>
        <v>0</v>
      </c>
      <c r="C69" s="68">
        <f>'июль факт'!C69+'август факт'!C69+'сентябрь факт'!C69</f>
        <v>0</v>
      </c>
      <c r="D69" s="68">
        <f>'июль факт'!D69+'август факт'!D69+'сентябрь факт'!D69</f>
        <v>0</v>
      </c>
      <c r="E69" s="68">
        <f>'июль факт'!E69+'август факт'!E69+'сентябрь факт'!E69</f>
        <v>0</v>
      </c>
      <c r="F69" s="69">
        <f>'июль факт'!F69+'август факт'!F69+'сентябрь факт'!F69</f>
        <v>0</v>
      </c>
      <c r="G69" s="7"/>
      <c r="H69" s="31"/>
    </row>
    <row r="70" spans="1:8" s="7" customFormat="1" ht="38.25" customHeight="1">
      <c r="A70" s="58" t="s">
        <v>23</v>
      </c>
      <c r="B70" s="5">
        <f t="shared" si="1"/>
        <v>254.023</v>
      </c>
      <c r="C70" s="68">
        <f>'июль факт'!C70+'август факт'!C70+'сентябрь факт'!C70</f>
        <v>0</v>
      </c>
      <c r="D70" s="68">
        <f>'июль факт'!D70+'август факт'!D70+'сентябрь факт'!D70</f>
        <v>0</v>
      </c>
      <c r="E70" s="68">
        <f>'июль факт'!E70+'август факт'!E70+'сентябрь факт'!E70</f>
        <v>0</v>
      </c>
      <c r="F70" s="69">
        <f>'июль факт'!F70+'август факт'!F70+'сентябрь факт'!F70</f>
        <v>254.023</v>
      </c>
      <c r="H70" s="25"/>
    </row>
    <row r="71" spans="1:6" ht="18.75">
      <c r="A71" s="15" t="s">
        <v>13</v>
      </c>
      <c r="B71" s="5">
        <f t="shared" si="1"/>
        <v>22.269</v>
      </c>
      <c r="C71" s="68">
        <f>'июль факт'!C71+'август факт'!C71+'сентябрь факт'!C71</f>
        <v>0</v>
      </c>
      <c r="D71" s="68">
        <f>'июль факт'!D71+'август факт'!D71+'сентябрь факт'!D71</f>
        <v>0</v>
      </c>
      <c r="E71" s="68">
        <f>'июль факт'!E71+'август факт'!E71+'сентябрь факт'!E71</f>
        <v>0</v>
      </c>
      <c r="F71" s="69">
        <f>'июль факт'!F71+'август факт'!F71+'сентябрь факт'!F71</f>
        <v>22.269</v>
      </c>
    </row>
    <row r="72" spans="1:6" ht="18.75">
      <c r="A72" s="15" t="s">
        <v>10</v>
      </c>
      <c r="B72" s="5">
        <f t="shared" si="1"/>
        <v>231.75400000000002</v>
      </c>
      <c r="C72" s="68">
        <f>'июль факт'!C72+'август факт'!C72+'сентябрь факт'!C72</f>
        <v>0</v>
      </c>
      <c r="D72" s="68">
        <f>'июль факт'!D72+'август факт'!D72+'сентябрь факт'!D72</f>
        <v>0</v>
      </c>
      <c r="E72" s="68">
        <f>'июль факт'!E72+'август факт'!E72+'сентябрь факт'!E72</f>
        <v>0</v>
      </c>
      <c r="F72" s="69">
        <f>'июль факт'!F72+'август факт'!F72+'сентябрь факт'!F72</f>
        <v>231.75400000000002</v>
      </c>
    </row>
    <row r="73" spans="1:8" s="63" customFormat="1" ht="23.25" customHeight="1">
      <c r="A73" s="15" t="s">
        <v>11</v>
      </c>
      <c r="B73" s="5">
        <f t="shared" si="1"/>
        <v>231.75400000000002</v>
      </c>
      <c r="C73" s="68">
        <f>'июль факт'!C73+'август факт'!C73+'сентябрь факт'!C73</f>
        <v>0</v>
      </c>
      <c r="D73" s="68">
        <f>'июль факт'!D73+'август факт'!D73+'сентябрь факт'!D73</f>
        <v>0</v>
      </c>
      <c r="E73" s="68">
        <f>'июль факт'!E73+'август факт'!E73+'сентябрь факт'!E73</f>
        <v>0</v>
      </c>
      <c r="F73" s="69">
        <f>'июль факт'!F73+'август факт'!F73+'сентябрь факт'!F73</f>
        <v>231.75400000000002</v>
      </c>
      <c r="G73" s="7"/>
      <c r="H73" s="60"/>
    </row>
    <row r="74" spans="1:8" s="63" customFormat="1" ht="23.25" customHeight="1">
      <c r="A74" s="15" t="s">
        <v>12</v>
      </c>
      <c r="B74" s="5">
        <f t="shared" si="1"/>
        <v>0</v>
      </c>
      <c r="C74" s="68">
        <f>'июль факт'!C74+'август факт'!C74+'сентябрь факт'!C74</f>
        <v>0</v>
      </c>
      <c r="D74" s="68">
        <f>'июль факт'!D74+'август факт'!D74+'сентябрь факт'!D74</f>
        <v>0</v>
      </c>
      <c r="E74" s="68">
        <f>'июль факт'!E74+'август факт'!E74+'сентябрь факт'!E74</f>
        <v>0</v>
      </c>
      <c r="F74" s="69">
        <f>'июль факт'!F74+'август факт'!F74+'сентябрь факт'!F74</f>
        <v>0</v>
      </c>
      <c r="G74" s="7"/>
      <c r="H74" s="61"/>
    </row>
    <row r="75" spans="1:8" s="63" customFormat="1" ht="45.75" customHeight="1">
      <c r="A75" s="58" t="s">
        <v>42</v>
      </c>
      <c r="B75" s="5">
        <f t="shared" si="1"/>
        <v>708.477</v>
      </c>
      <c r="C75" s="68">
        <f>'июль факт'!C75+'август факт'!C75+'сентябрь факт'!C75</f>
        <v>0</v>
      </c>
      <c r="D75" s="68">
        <f>'июль факт'!D75+'август факт'!D75+'сентябрь факт'!D75</f>
        <v>0</v>
      </c>
      <c r="E75" s="68">
        <f>'июль факт'!E75+'август факт'!E75+'сентябрь факт'!E75</f>
        <v>40.659000000000006</v>
      </c>
      <c r="F75" s="69">
        <f>'июль факт'!F75+'август факт'!F75+'сентябрь факт'!F75</f>
        <v>667.818</v>
      </c>
      <c r="G75" s="7"/>
      <c r="H75" s="62"/>
    </row>
    <row r="76" spans="1:8" s="63" customFormat="1" ht="26.25" customHeight="1">
      <c r="A76" s="15" t="s">
        <v>13</v>
      </c>
      <c r="B76" s="5">
        <f t="shared" si="1"/>
        <v>213.83800000000002</v>
      </c>
      <c r="C76" s="68">
        <f>'июль факт'!C76+'август факт'!C76+'сентябрь факт'!C76</f>
        <v>0</v>
      </c>
      <c r="D76" s="68">
        <f>'июль факт'!D76+'август факт'!D76+'сентябрь факт'!D76</f>
        <v>0</v>
      </c>
      <c r="E76" s="68">
        <f>'июль факт'!E76+'август факт'!E76+'сентябрь факт'!E76</f>
        <v>40.659000000000006</v>
      </c>
      <c r="F76" s="69">
        <f>'июль факт'!F76+'август факт'!F76+'сентябрь факт'!F76</f>
        <v>173.179</v>
      </c>
      <c r="G76" s="47"/>
      <c r="H76" s="62"/>
    </row>
    <row r="77" spans="1:8" s="63" customFormat="1" ht="23.25" customHeight="1">
      <c r="A77" s="15" t="s">
        <v>10</v>
      </c>
      <c r="B77" s="5">
        <f t="shared" si="1"/>
        <v>494.639</v>
      </c>
      <c r="C77" s="68">
        <f>'июль факт'!C77+'август факт'!C77+'сентябрь факт'!C77</f>
        <v>0</v>
      </c>
      <c r="D77" s="68">
        <f>'июль факт'!D77+'август факт'!D77+'сентябрь факт'!D77</f>
        <v>0</v>
      </c>
      <c r="E77" s="68">
        <f>'июль факт'!E77+'август факт'!E77+'сентябрь факт'!E77</f>
        <v>0</v>
      </c>
      <c r="F77" s="69">
        <f>'июль факт'!F77+'август факт'!F77+'сентябрь факт'!F77</f>
        <v>494.639</v>
      </c>
      <c r="G77" s="7"/>
      <c r="H77" s="31"/>
    </row>
    <row r="78" spans="1:8" s="63" customFormat="1" ht="23.25" customHeight="1">
      <c r="A78" s="15" t="s">
        <v>11</v>
      </c>
      <c r="B78" s="5">
        <f t="shared" si="1"/>
        <v>0</v>
      </c>
      <c r="C78" s="68">
        <f>'июль факт'!C78+'август факт'!C78+'сентябрь факт'!C78</f>
        <v>0</v>
      </c>
      <c r="D78" s="68">
        <f>'июль факт'!D78+'август факт'!D78+'сентябрь факт'!D78</f>
        <v>0</v>
      </c>
      <c r="E78" s="68">
        <f>'июль факт'!E78+'август факт'!E78+'сентябрь факт'!E78</f>
        <v>0</v>
      </c>
      <c r="F78" s="69">
        <f>'июль факт'!F78+'август факт'!F78+'сентябрь факт'!F78</f>
        <v>0</v>
      </c>
      <c r="G78" s="48"/>
      <c r="H78" s="31"/>
    </row>
    <row r="79" spans="1:8" s="63" customFormat="1" ht="23.25" customHeight="1">
      <c r="A79" s="15" t="s">
        <v>12</v>
      </c>
      <c r="B79" s="5">
        <f t="shared" si="1"/>
        <v>494.639</v>
      </c>
      <c r="C79" s="68">
        <f>'июль факт'!C79+'август факт'!C79+'сентябрь факт'!C79</f>
        <v>0</v>
      </c>
      <c r="D79" s="68">
        <f>'июль факт'!D79+'август факт'!D79+'сентябрь факт'!D79</f>
        <v>0</v>
      </c>
      <c r="E79" s="68">
        <f>'июль факт'!E79+'август факт'!E79+'сентябрь факт'!E79</f>
        <v>0</v>
      </c>
      <c r="F79" s="69">
        <f>'июль факт'!F79+'август факт'!F79+'сентябрь факт'!F79</f>
        <v>494.639</v>
      </c>
      <c r="G79" s="7"/>
      <c r="H79" s="31"/>
    </row>
    <row r="80" spans="1:8" s="63" customFormat="1" ht="23.25" customHeight="1">
      <c r="A80" s="58" t="s">
        <v>21</v>
      </c>
      <c r="B80" s="5">
        <f t="shared" si="1"/>
        <v>804.788</v>
      </c>
      <c r="C80" s="68">
        <f>'июль факт'!C80+'август факт'!C80+'сентябрь факт'!C80</f>
        <v>0</v>
      </c>
      <c r="D80" s="68">
        <f>'июль факт'!D80+'август факт'!D80+'сентябрь факт'!D80</f>
        <v>0</v>
      </c>
      <c r="E80" s="68">
        <f>'июль факт'!E80+'август факт'!E80+'сентябрь факт'!E80</f>
        <v>804.788</v>
      </c>
      <c r="F80" s="69">
        <f>'июль факт'!F80+'август факт'!F80+'сентябрь факт'!F80</f>
        <v>0</v>
      </c>
      <c r="G80" s="7"/>
      <c r="H80" s="31"/>
    </row>
    <row r="81" spans="1:8" s="63" customFormat="1" ht="33" customHeight="1">
      <c r="A81" s="15" t="s">
        <v>13</v>
      </c>
      <c r="B81" s="5">
        <f t="shared" si="1"/>
        <v>804.788</v>
      </c>
      <c r="C81" s="68">
        <f>'июль факт'!C81+'август факт'!C81+'сентябрь факт'!C81</f>
        <v>0</v>
      </c>
      <c r="D81" s="68">
        <f>'июль факт'!D81+'август факт'!D81+'сентябрь факт'!D81</f>
        <v>0</v>
      </c>
      <c r="E81" s="68">
        <f>'июль факт'!E81+'август факт'!E81+'сентябрь факт'!E81</f>
        <v>804.788</v>
      </c>
      <c r="F81" s="69">
        <f>'июль факт'!F81+'август факт'!F81+'сентябрь факт'!F81</f>
        <v>0</v>
      </c>
      <c r="G81" s="7"/>
      <c r="H81" s="25"/>
    </row>
    <row r="82" spans="1:6" s="63" customFormat="1" ht="38.25" customHeight="1">
      <c r="A82" s="15" t="s">
        <v>10</v>
      </c>
      <c r="B82" s="5">
        <f t="shared" si="1"/>
        <v>0</v>
      </c>
      <c r="C82" s="68">
        <f>'июль факт'!C82+'август факт'!C82+'сентябрь факт'!C82</f>
        <v>0</v>
      </c>
      <c r="D82" s="68">
        <f>'июль факт'!D82+'август факт'!D82+'сентябрь факт'!D82</f>
        <v>0</v>
      </c>
      <c r="E82" s="68">
        <f>'июль факт'!E82+'август факт'!E82+'сентябрь факт'!E82</f>
        <v>0</v>
      </c>
      <c r="F82" s="69">
        <f>'июль факт'!F82+'август факт'!F82+'сентябрь факт'!F82</f>
        <v>0</v>
      </c>
    </row>
    <row r="83" spans="1:6" ht="18.75">
      <c r="A83" s="15" t="s">
        <v>11</v>
      </c>
      <c r="B83" s="5">
        <f t="shared" si="1"/>
        <v>0</v>
      </c>
      <c r="C83" s="68">
        <f>'июль факт'!C83+'август факт'!C83+'сентябрь факт'!C83</f>
        <v>0</v>
      </c>
      <c r="D83" s="68">
        <f>'июль факт'!D83+'август факт'!D83+'сентябрь факт'!D83</f>
        <v>0</v>
      </c>
      <c r="E83" s="68">
        <f>'июль факт'!E83+'август факт'!E83+'сентябрь факт'!E83</f>
        <v>0</v>
      </c>
      <c r="F83" s="69">
        <f>'июль факт'!F83+'август факт'!F83+'сентябрь факт'!F83</f>
        <v>0</v>
      </c>
    </row>
    <row r="84" spans="1:6" ht="18.75">
      <c r="A84" s="15" t="s">
        <v>12</v>
      </c>
      <c r="B84" s="5">
        <f t="shared" si="1"/>
        <v>0</v>
      </c>
      <c r="C84" s="68">
        <f>'июль факт'!C84+'август факт'!C84+'сентябрь факт'!C84</f>
        <v>0</v>
      </c>
      <c r="D84" s="68">
        <f>'июль факт'!D84+'август факт'!D84+'сентябрь факт'!D84</f>
        <v>0</v>
      </c>
      <c r="E84" s="68">
        <f>'июль факт'!E84+'август факт'!E84+'сентябрь факт'!E84</f>
        <v>0</v>
      </c>
      <c r="F84" s="69">
        <f>'июль факт'!F84+'август факт'!F84+'сентябрь факт'!F84</f>
        <v>0</v>
      </c>
    </row>
    <row r="85" spans="1:6" ht="36">
      <c r="A85" s="58" t="s">
        <v>22</v>
      </c>
      <c r="B85" s="5">
        <f t="shared" si="1"/>
        <v>1266.677</v>
      </c>
      <c r="C85" s="68">
        <f>'июль факт'!C85+'август факт'!C85+'сентябрь факт'!C85</f>
        <v>0</v>
      </c>
      <c r="D85" s="68">
        <f>'июль факт'!D85+'август факт'!D85+'сентябрь факт'!D85</f>
        <v>0</v>
      </c>
      <c r="E85" s="68">
        <f>'июль факт'!E85+'август факт'!E85+'сентябрь факт'!E85</f>
        <v>1266.677</v>
      </c>
      <c r="F85" s="69">
        <f>'июль факт'!F85+'август факт'!F85+'сентябрь факт'!F85</f>
        <v>0</v>
      </c>
    </row>
    <row r="86" spans="1:6" ht="18.75">
      <c r="A86" s="15" t="s">
        <v>13</v>
      </c>
      <c r="B86" s="5">
        <f t="shared" si="1"/>
        <v>1266.677</v>
      </c>
      <c r="C86" s="68">
        <f>'июль факт'!C86+'август факт'!C86+'сентябрь факт'!C86</f>
        <v>0</v>
      </c>
      <c r="D86" s="68">
        <f>'июль факт'!D86+'август факт'!D86+'сентябрь факт'!D86</f>
        <v>0</v>
      </c>
      <c r="E86" s="68">
        <f>'июль факт'!E86+'август факт'!E86+'сентябрь факт'!E86</f>
        <v>1266.677</v>
      </c>
      <c r="F86" s="69">
        <f>'июль факт'!F86+'август факт'!F86+'сентябрь факт'!F86</f>
        <v>0</v>
      </c>
    </row>
    <row r="87" spans="1:6" ht="18.75">
      <c r="A87" s="15" t="s">
        <v>10</v>
      </c>
      <c r="B87" s="5">
        <f t="shared" si="1"/>
        <v>0</v>
      </c>
      <c r="C87" s="68">
        <f>'июль факт'!C87+'август факт'!C87+'сентябрь факт'!C87</f>
        <v>0</v>
      </c>
      <c r="D87" s="68">
        <f>'июль факт'!D87+'август факт'!D87+'сентябрь факт'!D87</f>
        <v>0</v>
      </c>
      <c r="E87" s="68">
        <f>'июль факт'!E87+'август факт'!E87+'сентябрь факт'!E87</f>
        <v>0</v>
      </c>
      <c r="F87" s="69">
        <f>'июль факт'!F87+'август факт'!F87+'сентябрь факт'!F87</f>
        <v>0</v>
      </c>
    </row>
    <row r="88" spans="1:6" ht="18.75">
      <c r="A88" s="15" t="s">
        <v>11</v>
      </c>
      <c r="B88" s="5">
        <f t="shared" si="1"/>
        <v>0</v>
      </c>
      <c r="C88" s="68">
        <f>'июль факт'!C88+'август факт'!C88+'сентябрь факт'!C88</f>
        <v>0</v>
      </c>
      <c r="D88" s="68">
        <f>'июль факт'!D88+'август факт'!D88+'сентябрь факт'!D88</f>
        <v>0</v>
      </c>
      <c r="E88" s="68">
        <f>'июль факт'!E88+'август факт'!E88+'сентябрь факт'!E88</f>
        <v>0</v>
      </c>
      <c r="F88" s="69">
        <f>'июль факт'!F88+'август факт'!F88+'сентябрь факт'!F88</f>
        <v>0</v>
      </c>
    </row>
    <row r="89" spans="1:6" ht="18.75">
      <c r="A89" s="15" t="s">
        <v>12</v>
      </c>
      <c r="B89" s="5">
        <f t="shared" si="1"/>
        <v>0</v>
      </c>
      <c r="C89" s="68">
        <f>'июль факт'!C89+'август факт'!C89+'сентябрь факт'!C89</f>
        <v>0</v>
      </c>
      <c r="D89" s="68">
        <f>'июль факт'!D89+'август факт'!D89+'сентябрь факт'!D89</f>
        <v>0</v>
      </c>
      <c r="E89" s="68">
        <f>'июль факт'!E89+'август факт'!E89+'сентябрь факт'!E89</f>
        <v>0</v>
      </c>
      <c r="F89" s="69">
        <f>'июль факт'!F89+'август факт'!F89+'сентябрь факт'!F89</f>
        <v>0</v>
      </c>
    </row>
    <row r="90" spans="1:6" ht="18">
      <c r="A90" s="58" t="s">
        <v>49</v>
      </c>
      <c r="B90" s="5">
        <f>C90+D90+E90+F90</f>
        <v>0</v>
      </c>
      <c r="C90" s="68">
        <f>'июль факт'!C90+'август факт'!C90+'сентябрь факт'!C90</f>
        <v>0</v>
      </c>
      <c r="D90" s="68">
        <f>'июль факт'!D90+'август факт'!D90+'сентябрь факт'!D90</f>
        <v>0</v>
      </c>
      <c r="E90" s="68">
        <f>'июль факт'!E90+'август факт'!E90+'сентябрь факт'!E90</f>
        <v>0</v>
      </c>
      <c r="F90" s="69">
        <f>'июль факт'!F90+'август факт'!F90+'сентябрь факт'!F90</f>
        <v>0</v>
      </c>
    </row>
    <row r="91" spans="1:6" ht="18.75">
      <c r="A91" s="15" t="s">
        <v>13</v>
      </c>
      <c r="B91" s="5">
        <f>C91+D91+E91+F91</f>
        <v>0</v>
      </c>
      <c r="C91" s="68">
        <f>'июль факт'!C91+'август факт'!C91+'сентябрь факт'!C91</f>
        <v>0</v>
      </c>
      <c r="D91" s="68">
        <f>'июль факт'!D91+'август факт'!D91+'сентябрь факт'!D91</f>
        <v>0</v>
      </c>
      <c r="E91" s="68">
        <f>'июль факт'!E91+'август факт'!E91+'сентябрь факт'!E91</f>
        <v>0</v>
      </c>
      <c r="F91" s="69">
        <f>'июль факт'!F91+'август факт'!F91+'сентябрь факт'!F91</f>
        <v>0</v>
      </c>
    </row>
    <row r="92" spans="1:6" ht="18.75">
      <c r="A92" s="15" t="s">
        <v>10</v>
      </c>
      <c r="B92" s="5">
        <f>C92+D92+E92+F92</f>
        <v>0</v>
      </c>
      <c r="C92" s="68">
        <f>'июль факт'!C92+'август факт'!C92+'сентябрь факт'!C92</f>
        <v>0</v>
      </c>
      <c r="D92" s="68">
        <f>'июль факт'!D92+'август факт'!D92+'сентябрь факт'!D92</f>
        <v>0</v>
      </c>
      <c r="E92" s="68">
        <f>'июль факт'!E92+'август факт'!E92+'сентябрь факт'!E92</f>
        <v>0</v>
      </c>
      <c r="F92" s="69">
        <f>'июль факт'!F92+'август факт'!F92+'сентябрь факт'!F92</f>
        <v>0</v>
      </c>
    </row>
    <row r="93" spans="1:6" ht="18.75">
      <c r="A93" s="15" t="s">
        <v>11</v>
      </c>
      <c r="B93" s="5">
        <f>C93+D93+E93+F93</f>
        <v>0</v>
      </c>
      <c r="C93" s="68">
        <f>'июль факт'!C93+'август факт'!C93+'сентябрь факт'!C93</f>
        <v>0</v>
      </c>
      <c r="D93" s="68">
        <f>'июль факт'!D93+'август факт'!D93+'сентябрь факт'!D93</f>
        <v>0</v>
      </c>
      <c r="E93" s="68">
        <f>'июль факт'!E93+'август факт'!E93+'сентябрь факт'!E93</f>
        <v>0</v>
      </c>
      <c r="F93" s="69">
        <f>'июль факт'!F93+'август факт'!F93+'сентябрь факт'!F93</f>
        <v>0</v>
      </c>
    </row>
    <row r="94" spans="1:6" ht="18.75">
      <c r="A94" s="15" t="s">
        <v>12</v>
      </c>
      <c r="B94" s="5">
        <f>C94+D94+E94+F94</f>
        <v>0</v>
      </c>
      <c r="C94" s="68">
        <f>'июль факт'!C94+'август факт'!C94+'сентябрь факт'!C94</f>
        <v>0</v>
      </c>
      <c r="D94" s="68">
        <f>'июль факт'!D94+'август факт'!D94+'сентябрь факт'!D94</f>
        <v>0</v>
      </c>
      <c r="E94" s="68">
        <f>'июль факт'!E94+'август факт'!E94+'сентябрь факт'!E94</f>
        <v>0</v>
      </c>
      <c r="F94" s="69">
        <f>'июль факт'!F94+'август факт'!F94+'сентябрь факт'!F94</f>
        <v>0</v>
      </c>
    </row>
    <row r="95" spans="1:6" ht="18">
      <c r="A95" s="58" t="s">
        <v>70</v>
      </c>
      <c r="B95" s="5">
        <f aca="true" t="shared" si="2" ref="B95:B114">C95+D95+E95+F95</f>
        <v>290.141</v>
      </c>
      <c r="C95" s="68">
        <f>'июль факт'!C95+'август факт'!C95+'сентябрь факт'!C95</f>
        <v>0</v>
      </c>
      <c r="D95" s="68">
        <f>'июль факт'!D95+'август факт'!D95+'сентябрь факт'!D95</f>
        <v>0</v>
      </c>
      <c r="E95" s="68">
        <f>'июль факт'!E95+'август факт'!E95+'сентябрь факт'!E95</f>
        <v>290.141</v>
      </c>
      <c r="F95" s="69">
        <f>'июль факт'!F95+'август факт'!F95+'сентябрь факт'!F95</f>
        <v>0</v>
      </c>
    </row>
    <row r="96" spans="1:6" ht="18.75">
      <c r="A96" s="15" t="s">
        <v>13</v>
      </c>
      <c r="B96" s="5">
        <f t="shared" si="2"/>
        <v>192.212</v>
      </c>
      <c r="C96" s="68">
        <f>'июль факт'!C96+'август факт'!C96+'сентябрь факт'!C96</f>
        <v>0</v>
      </c>
      <c r="D96" s="68">
        <f>'июль факт'!D96+'август факт'!D96+'сентябрь факт'!D96</f>
        <v>0</v>
      </c>
      <c r="E96" s="68">
        <f>'июль факт'!E96+'август факт'!E96+'сентябрь факт'!E96</f>
        <v>192.212</v>
      </c>
      <c r="F96" s="69">
        <f>'июль факт'!F96+'август факт'!F96+'сентябрь факт'!F96</f>
        <v>0</v>
      </c>
    </row>
    <row r="97" spans="1:6" ht="18.75">
      <c r="A97" s="15" t="s">
        <v>10</v>
      </c>
      <c r="B97" s="5">
        <f t="shared" si="2"/>
        <v>97.929</v>
      </c>
      <c r="C97" s="68">
        <f>'июль факт'!C97+'август факт'!C97+'сентябрь факт'!C97</f>
        <v>0</v>
      </c>
      <c r="D97" s="68">
        <f>'июль факт'!D97+'август факт'!D97+'сентябрь факт'!D97</f>
        <v>0</v>
      </c>
      <c r="E97" s="68">
        <f>'июль факт'!E97+'август факт'!E97+'сентябрь факт'!E97</f>
        <v>97.929</v>
      </c>
      <c r="F97" s="69">
        <f>'июль факт'!F97+'август факт'!F97+'сентябрь факт'!F97</f>
        <v>0</v>
      </c>
    </row>
    <row r="98" spans="1:6" ht="18.75">
      <c r="A98" s="15" t="s">
        <v>11</v>
      </c>
      <c r="B98" s="5">
        <f t="shared" si="2"/>
        <v>97.929</v>
      </c>
      <c r="C98" s="68">
        <f>'июль факт'!C98+'август факт'!C98+'сентябрь факт'!C98</f>
        <v>0</v>
      </c>
      <c r="D98" s="68">
        <f>'июль факт'!D98+'август факт'!D98+'сентябрь факт'!D98</f>
        <v>0</v>
      </c>
      <c r="E98" s="68">
        <f>'июль факт'!E98+'август факт'!E98+'сентябрь факт'!E98</f>
        <v>97.929</v>
      </c>
      <c r="F98" s="69">
        <f>'июль факт'!F98+'август факт'!F98+'сентябрь факт'!F98</f>
        <v>0</v>
      </c>
    </row>
    <row r="99" spans="1:6" ht="18.75">
      <c r="A99" s="15" t="s">
        <v>12</v>
      </c>
      <c r="B99" s="5">
        <f t="shared" si="2"/>
        <v>0</v>
      </c>
      <c r="C99" s="68">
        <f>'июль факт'!C99+'август факт'!C99+'сентябрь факт'!C99</f>
        <v>0</v>
      </c>
      <c r="D99" s="68">
        <f>'июль факт'!D99+'август факт'!D99+'сентябрь факт'!D99</f>
        <v>0</v>
      </c>
      <c r="E99" s="68">
        <f>'июль факт'!E99+'август факт'!E99+'сентябрь факт'!E99</f>
        <v>0</v>
      </c>
      <c r="F99" s="69">
        <f>'июль факт'!F99+'август факт'!F99+'сентябрь факт'!F99</f>
        <v>0</v>
      </c>
    </row>
    <row r="100" spans="1:6" ht="18">
      <c r="A100" s="58" t="s">
        <v>8</v>
      </c>
      <c r="B100" s="5">
        <f t="shared" si="2"/>
        <v>4063.42</v>
      </c>
      <c r="C100" s="68">
        <f>'июль факт'!C100+'август факт'!C100+'сентябрь факт'!C100</f>
        <v>0</v>
      </c>
      <c r="D100" s="68">
        <f>'июль факт'!D100+'август факт'!D100+'сентябрь факт'!D100</f>
        <v>0</v>
      </c>
      <c r="E100" s="68">
        <f>'июль факт'!E100+'август факт'!E100+'сентябрь факт'!E100</f>
        <v>1997.5829999999999</v>
      </c>
      <c r="F100" s="69">
        <f>'июль факт'!F100+'август факт'!F100+'сентябрь факт'!F100</f>
        <v>2065.837</v>
      </c>
    </row>
    <row r="101" spans="1:6" ht="18.75">
      <c r="A101" s="15" t="s">
        <v>13</v>
      </c>
      <c r="B101" s="5">
        <f t="shared" si="2"/>
        <v>1940.554</v>
      </c>
      <c r="C101" s="68">
        <f>'июль факт'!C101+'август факт'!C101+'сентябрь факт'!C101</f>
        <v>0</v>
      </c>
      <c r="D101" s="68">
        <f>'июль факт'!D101+'август факт'!D101+'сентябрь факт'!D101</f>
        <v>0</v>
      </c>
      <c r="E101" s="68">
        <f>'июль факт'!E101+'август факт'!E101+'сентябрь факт'!E101</f>
        <v>1538.675</v>
      </c>
      <c r="F101" s="69">
        <f>'июль факт'!F101+'август факт'!F101+'сентябрь факт'!F101</f>
        <v>401.879</v>
      </c>
    </row>
    <row r="102" spans="1:6" ht="18.75">
      <c r="A102" s="15" t="s">
        <v>10</v>
      </c>
      <c r="B102" s="5">
        <f t="shared" si="2"/>
        <v>2122.866</v>
      </c>
      <c r="C102" s="68">
        <f>'июль факт'!C102+'август факт'!C102+'сентябрь факт'!C102</f>
        <v>0</v>
      </c>
      <c r="D102" s="68">
        <f>'июль факт'!D102+'август факт'!D102+'сентябрь факт'!D102</f>
        <v>0</v>
      </c>
      <c r="E102" s="68">
        <f>'июль факт'!E102+'август факт'!E102+'сентябрь факт'!E102</f>
        <v>458.90799999999996</v>
      </c>
      <c r="F102" s="69">
        <f>'июль факт'!F102+'август факт'!F102+'сентябрь факт'!F102</f>
        <v>1663.9579999999999</v>
      </c>
    </row>
    <row r="103" spans="1:6" ht="18.75">
      <c r="A103" s="15" t="s">
        <v>11</v>
      </c>
      <c r="B103" s="5">
        <f t="shared" si="2"/>
        <v>1683.6390000000001</v>
      </c>
      <c r="C103" s="68">
        <f>'июль факт'!C103+'август факт'!C103+'сентябрь факт'!C103</f>
        <v>0</v>
      </c>
      <c r="D103" s="68">
        <f>'июль факт'!D103+'август факт'!D103+'сентябрь факт'!D103</f>
        <v>0</v>
      </c>
      <c r="E103" s="68">
        <f>'июль факт'!E103+'август факт'!E103+'сентябрь факт'!E103</f>
        <v>434.842</v>
      </c>
      <c r="F103" s="69">
        <f>'июль факт'!F103+'август факт'!F103+'сентябрь факт'!F103</f>
        <v>1248.797</v>
      </c>
    </row>
    <row r="104" spans="1:6" ht="18.75">
      <c r="A104" s="15" t="s">
        <v>12</v>
      </c>
      <c r="B104" s="5">
        <f t="shared" si="2"/>
        <v>439.227</v>
      </c>
      <c r="C104" s="68">
        <f>'июль факт'!C104+'август факт'!C104+'сентябрь факт'!C104</f>
        <v>0</v>
      </c>
      <c r="D104" s="68">
        <f>'июль факт'!D104+'август факт'!D104+'сентябрь факт'!D104</f>
        <v>0</v>
      </c>
      <c r="E104" s="68">
        <f>'июль факт'!E104+'август факт'!E104+'сентябрь факт'!E104</f>
        <v>24.066000000000003</v>
      </c>
      <c r="F104" s="69">
        <f>'июль факт'!F104+'август факт'!F104+'сентябрь факт'!F104</f>
        <v>415.161</v>
      </c>
    </row>
    <row r="105" spans="1:6" ht="18">
      <c r="A105" s="58" t="s">
        <v>5</v>
      </c>
      <c r="B105" s="5">
        <f t="shared" si="2"/>
        <v>8937.798999999999</v>
      </c>
      <c r="C105" s="68">
        <f>'июль факт'!C105+'август факт'!C105+'сентябрь факт'!C105</f>
        <v>968.84</v>
      </c>
      <c r="D105" s="68">
        <f>'июль факт'!D105+'август факт'!D105+'сентябрь факт'!D105</f>
        <v>0</v>
      </c>
      <c r="E105" s="68">
        <f>'июль факт'!E105+'август факт'!E105+'сентябрь факт'!E105</f>
        <v>5556.758</v>
      </c>
      <c r="F105" s="69">
        <f>'июль факт'!F105+'август факт'!F105+'сентябрь факт'!F105</f>
        <v>2412.201</v>
      </c>
    </row>
    <row r="106" spans="1:6" ht="18.75">
      <c r="A106" s="15" t="s">
        <v>13</v>
      </c>
      <c r="B106" s="5">
        <f t="shared" si="2"/>
        <v>6073.518</v>
      </c>
      <c r="C106" s="68">
        <f>'июль факт'!C106+'август факт'!C106+'сентябрь факт'!C106</f>
        <v>968.84</v>
      </c>
      <c r="D106" s="68">
        <f>'июль факт'!D106+'август факт'!D106+'сентябрь факт'!D106</f>
        <v>0</v>
      </c>
      <c r="E106" s="68">
        <f>'июль факт'!E106+'август факт'!E106+'сентябрь факт'!E106</f>
        <v>4318.112</v>
      </c>
      <c r="F106" s="69">
        <f>'июль факт'!F106+'август факт'!F106+'сентябрь факт'!F106</f>
        <v>786.566</v>
      </c>
    </row>
    <row r="107" spans="1:6" ht="18.75">
      <c r="A107" s="15" t="s">
        <v>10</v>
      </c>
      <c r="B107" s="5">
        <f t="shared" si="2"/>
        <v>2864.281</v>
      </c>
      <c r="C107" s="68">
        <f>'июль факт'!C107+'август факт'!C107+'сентябрь факт'!C107</f>
        <v>0</v>
      </c>
      <c r="D107" s="68">
        <f>'июль факт'!D107+'август факт'!D107+'сентябрь факт'!D107</f>
        <v>0</v>
      </c>
      <c r="E107" s="68">
        <f>'июль факт'!E107+'август факт'!E107+'сентябрь факт'!E107</f>
        <v>1238.646</v>
      </c>
      <c r="F107" s="69">
        <f>'июль факт'!F107+'август факт'!F107+'сентябрь факт'!F107</f>
        <v>1625.6350000000002</v>
      </c>
    </row>
    <row r="108" spans="1:6" ht="18.75">
      <c r="A108" s="15" t="s">
        <v>11</v>
      </c>
      <c r="B108" s="5">
        <f t="shared" si="2"/>
        <v>2638.304</v>
      </c>
      <c r="C108" s="68">
        <f>'июль факт'!C108+'август факт'!C108+'сентябрь факт'!C108</f>
        <v>0</v>
      </c>
      <c r="D108" s="68">
        <f>'июль факт'!D108+'август факт'!D108+'сентябрь факт'!D108</f>
        <v>0</v>
      </c>
      <c r="E108" s="68">
        <f>'июль факт'!E108+'август факт'!E108+'сентябрь факт'!E108</f>
        <v>1162.272</v>
      </c>
      <c r="F108" s="69">
        <f>'июль факт'!F108+'август факт'!F108+'сентябрь факт'!F108</f>
        <v>1476.032</v>
      </c>
    </row>
    <row r="109" spans="1:6" ht="18.75">
      <c r="A109" s="15" t="s">
        <v>12</v>
      </c>
      <c r="B109" s="5">
        <f t="shared" si="2"/>
        <v>225.977</v>
      </c>
      <c r="C109" s="68">
        <f>'июль факт'!C109+'август факт'!C109+'сентябрь факт'!C109</f>
        <v>0</v>
      </c>
      <c r="D109" s="68">
        <f>'июль факт'!D109+'август факт'!D109+'сентябрь факт'!D109</f>
        <v>0</v>
      </c>
      <c r="E109" s="68">
        <f>'июль факт'!E109+'август факт'!E109+'сентябрь факт'!E109</f>
        <v>76.374</v>
      </c>
      <c r="F109" s="69">
        <f>'июль факт'!F109+'август факт'!F109+'сентябрь факт'!F109</f>
        <v>149.603</v>
      </c>
    </row>
    <row r="110" spans="1:6" ht="36">
      <c r="A110" s="58" t="s">
        <v>43</v>
      </c>
      <c r="B110" s="5">
        <f t="shared" si="2"/>
        <v>15741.026</v>
      </c>
      <c r="C110" s="68">
        <f>'июль факт'!C110+'август факт'!C110+'сентябрь факт'!C110</f>
        <v>0</v>
      </c>
      <c r="D110" s="68">
        <f>'июль факт'!D110+'август факт'!D110+'сентябрь факт'!D110</f>
        <v>0</v>
      </c>
      <c r="E110" s="68">
        <f>'июль факт'!E110+'август факт'!E110+'сентябрь факт'!E110</f>
        <v>3298.953</v>
      </c>
      <c r="F110" s="69">
        <f>'июль факт'!F110+'август факт'!F110+'сентябрь факт'!F110</f>
        <v>12442.073</v>
      </c>
    </row>
    <row r="111" spans="1:6" ht="18.75">
      <c r="A111" s="15" t="s">
        <v>13</v>
      </c>
      <c r="B111" s="5">
        <f t="shared" si="2"/>
        <v>6987.62</v>
      </c>
      <c r="C111" s="68">
        <f>'июль факт'!C111+'август факт'!C111+'сентябрь факт'!C111</f>
        <v>0</v>
      </c>
      <c r="D111" s="68">
        <f>'июль факт'!D111+'август факт'!D111+'сентябрь факт'!D111</f>
        <v>0</v>
      </c>
      <c r="E111" s="68">
        <f>'июль факт'!E111+'август факт'!E111+'сентябрь факт'!E111</f>
        <v>3192.866</v>
      </c>
      <c r="F111" s="69">
        <f>'июль факт'!F111+'август факт'!F111+'сентябрь факт'!F111</f>
        <v>3794.754</v>
      </c>
    </row>
    <row r="112" spans="1:6" ht="18.75">
      <c r="A112" s="15" t="s">
        <v>10</v>
      </c>
      <c r="B112" s="5">
        <f t="shared" si="2"/>
        <v>8753.405999999999</v>
      </c>
      <c r="C112" s="68">
        <f>'июль факт'!C112+'август факт'!C112+'сентябрь факт'!C112</f>
        <v>0</v>
      </c>
      <c r="D112" s="68">
        <f>'июль факт'!D112+'август факт'!D112+'сентябрь факт'!D112</f>
        <v>0</v>
      </c>
      <c r="E112" s="68">
        <f>'июль факт'!E112+'август факт'!E112+'сентябрь факт'!E112</f>
        <v>106.08700000000002</v>
      </c>
      <c r="F112" s="69">
        <f>'июль факт'!F112+'август факт'!F112+'сентябрь факт'!F112</f>
        <v>8647.319</v>
      </c>
    </row>
    <row r="113" spans="1:6" ht="18.75">
      <c r="A113" s="15" t="s">
        <v>11</v>
      </c>
      <c r="B113" s="5">
        <f t="shared" si="2"/>
        <v>829.048</v>
      </c>
      <c r="C113" s="68">
        <f>'июль факт'!C113+'август факт'!C113+'сентябрь факт'!C113</f>
        <v>0</v>
      </c>
      <c r="D113" s="68">
        <f>'июль факт'!D113+'август факт'!D113+'сентябрь факт'!D113</f>
        <v>0</v>
      </c>
      <c r="E113" s="68">
        <f>'июль факт'!E113+'август факт'!E113+'сентябрь факт'!E113</f>
        <v>45.261</v>
      </c>
      <c r="F113" s="69">
        <f>'июль факт'!F113+'август факт'!F113+'сентябрь факт'!F113</f>
        <v>783.787</v>
      </c>
    </row>
    <row r="114" spans="1:6" ht="19.5" thickBot="1">
      <c r="A114" s="16" t="s">
        <v>12</v>
      </c>
      <c r="B114" s="29">
        <f t="shared" si="2"/>
        <v>7924.358</v>
      </c>
      <c r="C114" s="182">
        <f>'июль факт'!C114+'август факт'!C114+'сентябрь факт'!C114</f>
        <v>0</v>
      </c>
      <c r="D114" s="182">
        <f>'июль факт'!D114+'август факт'!D114+'сентябрь факт'!D114</f>
        <v>0</v>
      </c>
      <c r="E114" s="182">
        <f>'июль факт'!E114+'август факт'!E114+'сентябрь факт'!E114</f>
        <v>60.82599999999999</v>
      </c>
      <c r="F114" s="183">
        <f>'июль факт'!F114+'август факт'!F114+'сентябрь факт'!F114</f>
        <v>7863.532</v>
      </c>
    </row>
    <row r="115" ht="13.5" thickBot="1">
      <c r="A115" s="172"/>
    </row>
    <row r="116" spans="1:6" s="176" customFormat="1" ht="24" thickBot="1">
      <c r="A116" s="163" t="s">
        <v>72</v>
      </c>
      <c r="B116" s="113">
        <f>C116+D116+E116+F116</f>
        <v>318094.398</v>
      </c>
      <c r="C116" s="118">
        <f>C110+C105+C100+C95+C90+C85+C80+C75+C70+C65+C60+C55+C50+C45+C40+C35+C30+C25+C20+C15+C10+C5</f>
        <v>128743.541</v>
      </c>
      <c r="D116" s="118">
        <f>D110+D105+D100+D95+D90+D85+D80+D75+D70+D65+D60+D55+D50+D45+D40+D35+D30+D25+D20+D15+D10+D5</f>
        <v>4133.196</v>
      </c>
      <c r="E116" s="118">
        <f>E110+E105+E100+E95+E90+E85+E80+E75+E70+E65+E60+E55+E50+E45+E40+E35+E30+E25+E20+E15+E10+E5</f>
        <v>79742.37</v>
      </c>
      <c r="F116" s="118">
        <f>F110+F105+F100+F95+F90+F85+F80+F75+F70+F65+F60+F55+F50+F45+F40+F35+F30+F25+F20+F15+F10+F5</f>
        <v>105475.291</v>
      </c>
    </row>
    <row r="117" ht="12.75">
      <c r="A117" s="176"/>
    </row>
    <row r="118" ht="12.75">
      <c r="A118" s="176"/>
    </row>
    <row r="119" ht="12.75">
      <c r="A119" s="176"/>
    </row>
    <row r="120" ht="12.75">
      <c r="A120" s="176"/>
    </row>
    <row r="121" ht="12.75">
      <c r="A121" s="176"/>
    </row>
    <row r="122" ht="23.25">
      <c r="A122" s="178"/>
    </row>
    <row r="123" ht="23.25">
      <c r="A123" s="178"/>
    </row>
    <row r="124" spans="1:6" ht="23.25">
      <c r="A124" s="178"/>
      <c r="B124" s="181"/>
      <c r="C124" s="181"/>
      <c r="D124" s="181"/>
      <c r="E124" s="181"/>
      <c r="F124" s="181"/>
    </row>
    <row r="125" ht="23.25">
      <c r="A125" s="178"/>
    </row>
    <row r="126" ht="23.25">
      <c r="A126" s="178"/>
    </row>
    <row r="127" ht="23.25">
      <c r="A127" s="178"/>
    </row>
    <row r="128" ht="12.75">
      <c r="A128" s="176"/>
    </row>
    <row r="129" ht="12.75">
      <c r="A129" s="176"/>
    </row>
    <row r="130" ht="12.75">
      <c r="A130" s="176"/>
    </row>
    <row r="131" ht="12.75">
      <c r="A131" s="176"/>
    </row>
    <row r="132" ht="12.75">
      <c r="A132" s="176"/>
    </row>
    <row r="133" ht="12.75">
      <c r="A133" s="176"/>
    </row>
    <row r="134" ht="12.75">
      <c r="A134" s="176"/>
    </row>
    <row r="135" ht="12.75">
      <c r="A135" s="176"/>
    </row>
    <row r="136" ht="12.75">
      <c r="A136" s="176"/>
    </row>
    <row r="137" ht="12.75">
      <c r="A137" s="176"/>
    </row>
    <row r="138" ht="12.75">
      <c r="A138" s="176"/>
    </row>
    <row r="139" ht="12.75">
      <c r="A139" s="176"/>
    </row>
    <row r="140" ht="12.75">
      <c r="A140" s="176"/>
    </row>
    <row r="141" ht="12.75">
      <c r="A141" s="176"/>
    </row>
    <row r="142" ht="12.75">
      <c r="A142" s="176"/>
    </row>
    <row r="143" ht="12.75">
      <c r="A143" s="176"/>
    </row>
    <row r="144" ht="12.75">
      <c r="A144" s="176"/>
    </row>
    <row r="145" ht="12.75">
      <c r="A145" s="176"/>
    </row>
    <row r="146" ht="12.75">
      <c r="A146" s="176"/>
    </row>
    <row r="147" ht="12.75">
      <c r="A147" s="176"/>
    </row>
    <row r="148" ht="12.75">
      <c r="A148" s="176"/>
    </row>
    <row r="149" ht="12.75">
      <c r="A149" s="176"/>
    </row>
    <row r="150" ht="12.75">
      <c r="A150" s="176"/>
    </row>
    <row r="151" ht="12.75">
      <c r="A151" s="176"/>
    </row>
    <row r="152" ht="12.75">
      <c r="A152" s="176"/>
    </row>
    <row r="153" ht="12.75">
      <c r="A153" s="176"/>
    </row>
    <row r="154" ht="12.75">
      <c r="A154" s="176"/>
    </row>
    <row r="155" ht="12.75">
      <c r="A155" s="176"/>
    </row>
    <row r="156" ht="12.75">
      <c r="A156" s="176"/>
    </row>
    <row r="157" ht="12.75">
      <c r="A157" s="176"/>
    </row>
    <row r="158" ht="12.75">
      <c r="A158" s="176"/>
    </row>
    <row r="159" ht="12.75">
      <c r="A159" s="176"/>
    </row>
    <row r="160" ht="12.75">
      <c r="A160" s="176"/>
    </row>
    <row r="161" ht="12.75">
      <c r="A161" s="176"/>
    </row>
    <row r="162" ht="12.75">
      <c r="A162" s="176"/>
    </row>
    <row r="163" ht="12.75">
      <c r="A163" s="176"/>
    </row>
    <row r="164" ht="12.75">
      <c r="A164" s="176"/>
    </row>
    <row r="165" ht="12.75">
      <c r="A165" s="176"/>
    </row>
    <row r="166" ht="12.75">
      <c r="A166" s="176"/>
    </row>
    <row r="167" ht="12.75">
      <c r="A167" s="176"/>
    </row>
    <row r="168" ht="12.75">
      <c r="A168" s="176"/>
    </row>
    <row r="169" ht="12.75">
      <c r="A169" s="176"/>
    </row>
    <row r="170" ht="12.75">
      <c r="A170" s="176"/>
    </row>
    <row r="171" ht="12.75">
      <c r="A171" s="176"/>
    </row>
    <row r="172" ht="12.75">
      <c r="A172" s="176"/>
    </row>
    <row r="173" ht="12.75">
      <c r="A173" s="176"/>
    </row>
    <row r="174" ht="12.75">
      <c r="A174" s="176"/>
    </row>
    <row r="175" ht="12.75">
      <c r="A175" s="176"/>
    </row>
    <row r="176" ht="12.75">
      <c r="A176" s="176"/>
    </row>
    <row r="177" ht="12.75">
      <c r="A177" s="176"/>
    </row>
    <row r="178" ht="12.75">
      <c r="A178" s="176"/>
    </row>
    <row r="179" ht="12.75">
      <c r="A179" s="176"/>
    </row>
    <row r="180" ht="12.75">
      <c r="A180" s="176"/>
    </row>
    <row r="181" ht="12.75">
      <c r="A181" s="176"/>
    </row>
    <row r="182" ht="12.75">
      <c r="A182" s="176"/>
    </row>
    <row r="183" ht="12.75">
      <c r="A183" s="176"/>
    </row>
    <row r="184" ht="12.75">
      <c r="A184" s="176"/>
    </row>
    <row r="185" ht="12.75">
      <c r="A185" s="176"/>
    </row>
    <row r="186" ht="12.75">
      <c r="A186" s="176"/>
    </row>
    <row r="187" ht="12.75">
      <c r="A187" s="176"/>
    </row>
    <row r="188" ht="12.75">
      <c r="A188" s="176"/>
    </row>
    <row r="189" ht="12.75">
      <c r="A189" s="176"/>
    </row>
    <row r="190" ht="12.75">
      <c r="A190" s="176"/>
    </row>
    <row r="191" ht="12.75">
      <c r="A191" s="176"/>
    </row>
    <row r="192" ht="12.75">
      <c r="A192" s="176"/>
    </row>
    <row r="193" ht="12.75">
      <c r="A193" s="176"/>
    </row>
    <row r="194" ht="12.75">
      <c r="A194" s="176"/>
    </row>
    <row r="195" ht="12.75">
      <c r="A195" s="176"/>
    </row>
    <row r="196" ht="12.75">
      <c r="A196" s="176"/>
    </row>
    <row r="197" ht="12.75">
      <c r="A197" s="176"/>
    </row>
    <row r="198" ht="12.75">
      <c r="A198" s="176"/>
    </row>
    <row r="199" ht="12.75">
      <c r="A199" s="176"/>
    </row>
    <row r="200" ht="12.75">
      <c r="A200" s="176"/>
    </row>
    <row r="201" ht="12.75">
      <c r="A201" s="176"/>
    </row>
    <row r="202" ht="12.75">
      <c r="A202" s="176"/>
    </row>
    <row r="203" ht="12.75">
      <c r="A203" s="176"/>
    </row>
    <row r="204" ht="12.75">
      <c r="A204" s="176"/>
    </row>
    <row r="205" ht="12.75">
      <c r="A205" s="176"/>
    </row>
    <row r="206" ht="12.75">
      <c r="A206" s="176"/>
    </row>
    <row r="207" ht="12.75">
      <c r="A207" s="176"/>
    </row>
    <row r="208" ht="12.75">
      <c r="A208" s="176"/>
    </row>
    <row r="209" ht="12.75">
      <c r="A209" s="176"/>
    </row>
    <row r="210" ht="12.75">
      <c r="A210" s="176"/>
    </row>
    <row r="211" ht="12.75">
      <c r="A211" s="176"/>
    </row>
    <row r="212" ht="12.75">
      <c r="A212" s="176"/>
    </row>
    <row r="213" ht="12.75">
      <c r="A213" s="176"/>
    </row>
    <row r="214" ht="12.75">
      <c r="A214" s="176"/>
    </row>
    <row r="215" ht="12.75">
      <c r="A215" s="176"/>
    </row>
    <row r="216" ht="12.75">
      <c r="A216" s="176"/>
    </row>
    <row r="217" ht="12.75">
      <c r="A217" s="176"/>
    </row>
    <row r="218" ht="12.75">
      <c r="A218" s="176"/>
    </row>
    <row r="219" ht="12.75">
      <c r="A219" s="176"/>
    </row>
    <row r="220" ht="12.75">
      <c r="A220" s="176"/>
    </row>
    <row r="221" ht="12.75">
      <c r="A221" s="176"/>
    </row>
    <row r="222" ht="12.75">
      <c r="A222" s="176"/>
    </row>
    <row r="223" ht="12.75">
      <c r="A223" s="176"/>
    </row>
    <row r="224" ht="12.75">
      <c r="A224" s="176"/>
    </row>
    <row r="225" ht="12.75">
      <c r="A225" s="176"/>
    </row>
    <row r="226" ht="12.75">
      <c r="A226" s="176"/>
    </row>
    <row r="227" ht="12.75">
      <c r="A227" s="176"/>
    </row>
    <row r="228" ht="12.75">
      <c r="A228" s="176"/>
    </row>
    <row r="229" ht="12.75">
      <c r="A229" s="176"/>
    </row>
    <row r="230" ht="12.75">
      <c r="A230" s="176"/>
    </row>
    <row r="231" ht="12.75">
      <c r="A231" s="176"/>
    </row>
    <row r="232" ht="12.75">
      <c r="A232" s="176"/>
    </row>
    <row r="233" ht="12.75">
      <c r="A233" s="176"/>
    </row>
    <row r="234" ht="12.75">
      <c r="A234" s="176"/>
    </row>
    <row r="235" ht="12.75">
      <c r="A235" s="176"/>
    </row>
    <row r="236" ht="12.75">
      <c r="A236" s="176"/>
    </row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4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4"/>
  <sheetViews>
    <sheetView zoomScale="60" zoomScaleNormal="60" zoomScalePageLayoutView="0" workbookViewId="0" topLeftCell="A1">
      <pane xSplit="1" ySplit="4" topLeftCell="B7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14" sqref="B100:B114"/>
    </sheetView>
  </sheetViews>
  <sheetFormatPr defaultColWidth="9.00390625" defaultRowHeight="12.75"/>
  <cols>
    <col min="1" max="1" width="69.875" style="3" customWidth="1"/>
    <col min="2" max="7" width="24.00390625" style="3" customWidth="1"/>
    <col min="8" max="12" width="57.00390625" style="0" customWidth="1"/>
  </cols>
  <sheetData>
    <row r="1" spans="1:6" s="63" customFormat="1" ht="23.25">
      <c r="A1" s="185" t="s">
        <v>29</v>
      </c>
      <c r="B1" s="185"/>
      <c r="C1" s="185"/>
      <c r="D1" s="185"/>
      <c r="E1" s="185"/>
      <c r="F1" s="185"/>
    </row>
    <row r="2" spans="1:6" s="64" customFormat="1" ht="23.25">
      <c r="A2" s="186" t="s">
        <v>64</v>
      </c>
      <c r="B2" s="186"/>
      <c r="C2" s="186"/>
      <c r="D2" s="187"/>
      <c r="E2" s="187"/>
      <c r="F2" s="187"/>
    </row>
    <row r="3" spans="1:6" s="59" customFormat="1" ht="18.75" thickBot="1">
      <c r="A3" s="3"/>
      <c r="B3" s="3"/>
      <c r="C3" s="3"/>
      <c r="D3" s="3"/>
      <c r="E3" s="3"/>
      <c r="F3" s="56" t="s">
        <v>28</v>
      </c>
    </row>
    <row r="4" spans="1:7" s="66" customFormat="1" ht="29.25" customHeight="1" thickBot="1">
      <c r="A4" s="38" t="s">
        <v>75</v>
      </c>
      <c r="B4" s="53"/>
      <c r="C4" s="42" t="s">
        <v>0</v>
      </c>
      <c r="D4" s="42" t="s">
        <v>1</v>
      </c>
      <c r="E4" s="42" t="s">
        <v>2</v>
      </c>
      <c r="F4" s="43" t="s">
        <v>3</v>
      </c>
      <c r="G4" s="7"/>
    </row>
    <row r="5" spans="1:7" s="4" customFormat="1" ht="44.25" customHeight="1">
      <c r="A5" s="57" t="s">
        <v>35</v>
      </c>
      <c r="B5" s="44">
        <f aca="true" t="shared" si="0" ref="B5:B53">C5+D5+E5+F5</f>
        <v>83352.03399999999</v>
      </c>
      <c r="C5" s="74">
        <f>C6+C7</f>
        <v>34055.477</v>
      </c>
      <c r="D5" s="74">
        <f>D6+D7</f>
        <v>1503.185</v>
      </c>
      <c r="E5" s="74">
        <f>E6+E7</f>
        <v>22607.938</v>
      </c>
      <c r="F5" s="75">
        <f>F6+F7</f>
        <v>25185.434</v>
      </c>
      <c r="G5" s="13"/>
    </row>
    <row r="6" spans="1:7" s="4" customFormat="1" ht="22.5" customHeight="1">
      <c r="A6" s="97" t="s">
        <v>47</v>
      </c>
      <c r="B6" s="5">
        <f t="shared" si="0"/>
        <v>66511.417</v>
      </c>
      <c r="C6" s="8">
        <f>34055.477-C7</f>
        <v>34019.786</v>
      </c>
      <c r="D6" s="8">
        <f>1503.185-D7</f>
        <v>1501.7749999999999</v>
      </c>
      <c r="E6" s="8">
        <f>22607.938-E7</f>
        <v>21630.14</v>
      </c>
      <c r="F6" s="9">
        <f>25185.434-F7</f>
        <v>9359.716</v>
      </c>
      <c r="G6" s="7"/>
    </row>
    <row r="7" spans="1:7" s="4" customFormat="1" ht="22.5" customHeight="1">
      <c r="A7" s="15" t="s">
        <v>10</v>
      </c>
      <c r="B7" s="5">
        <f t="shared" si="0"/>
        <v>16840.617000000002</v>
      </c>
      <c r="C7" s="17">
        <f>C8+C9</f>
        <v>35.691</v>
      </c>
      <c r="D7" s="17">
        <f>D8+D9</f>
        <v>1.41</v>
      </c>
      <c r="E7" s="17">
        <f>E8+E9</f>
        <v>977.798</v>
      </c>
      <c r="F7" s="18">
        <f>F8+F9</f>
        <v>15825.718</v>
      </c>
      <c r="G7" s="13"/>
    </row>
    <row r="8" spans="1:7" s="4" customFormat="1" ht="22.5" customHeight="1">
      <c r="A8" s="15" t="s">
        <v>11</v>
      </c>
      <c r="B8" s="5">
        <f t="shared" si="0"/>
        <v>4958.802</v>
      </c>
      <c r="C8" s="70">
        <v>14.939</v>
      </c>
      <c r="D8" s="70"/>
      <c r="E8" s="70">
        <v>208.336</v>
      </c>
      <c r="F8" s="70">
        <v>4735.527</v>
      </c>
      <c r="G8" s="13"/>
    </row>
    <row r="9" spans="1:7" s="4" customFormat="1" ht="22.5" customHeight="1">
      <c r="A9" s="15" t="s">
        <v>12</v>
      </c>
      <c r="B9" s="5">
        <f t="shared" si="0"/>
        <v>11881.815</v>
      </c>
      <c r="C9" s="70">
        <v>20.752</v>
      </c>
      <c r="D9" s="70">
        <v>1.41</v>
      </c>
      <c r="E9" s="70">
        <v>769.462</v>
      </c>
      <c r="F9" s="70">
        <v>11090.191</v>
      </c>
      <c r="G9" s="7"/>
    </row>
    <row r="10" spans="1:7" s="4" customFormat="1" ht="22.5" customHeight="1">
      <c r="A10" s="58" t="s">
        <v>36</v>
      </c>
      <c r="B10" s="5">
        <f t="shared" si="0"/>
        <v>6266.594000000001</v>
      </c>
      <c r="C10" s="17">
        <f>C11+C12</f>
        <v>941.76</v>
      </c>
      <c r="D10" s="17"/>
      <c r="E10" s="17">
        <f>E11+E12</f>
        <v>2325.965</v>
      </c>
      <c r="F10" s="18">
        <f>F11+F12</f>
        <v>2998.869</v>
      </c>
      <c r="G10" s="7"/>
    </row>
    <row r="11" spans="1:7" s="4" customFormat="1" ht="22.5" customHeight="1">
      <c r="A11" s="15" t="s">
        <v>13</v>
      </c>
      <c r="B11" s="5">
        <f t="shared" si="0"/>
        <v>3991.3650000000002</v>
      </c>
      <c r="C11" s="8">
        <v>838.684</v>
      </c>
      <c r="D11" s="8"/>
      <c r="E11" s="8">
        <v>2025.147</v>
      </c>
      <c r="F11" s="9">
        <v>1127.534</v>
      </c>
      <c r="G11" s="7"/>
    </row>
    <row r="12" spans="1:7" s="4" customFormat="1" ht="22.5" customHeight="1">
      <c r="A12" s="15" t="s">
        <v>10</v>
      </c>
      <c r="B12" s="5">
        <f t="shared" si="0"/>
        <v>2275.2290000000003</v>
      </c>
      <c r="C12" s="17">
        <f>C13+C14</f>
        <v>103.076</v>
      </c>
      <c r="D12" s="8"/>
      <c r="E12" s="17">
        <f>E13+E14</f>
        <v>300.818</v>
      </c>
      <c r="F12" s="18">
        <f>F13+F14</f>
        <v>1871.335</v>
      </c>
      <c r="G12" s="7"/>
    </row>
    <row r="13" spans="1:7" s="4" customFormat="1" ht="22.5" customHeight="1">
      <c r="A13" s="15" t="s">
        <v>11</v>
      </c>
      <c r="B13" s="5">
        <f t="shared" si="0"/>
        <v>1333.5159999999998</v>
      </c>
      <c r="C13" s="11"/>
      <c r="D13" s="11"/>
      <c r="E13" s="11">
        <v>70.398</v>
      </c>
      <c r="F13" s="12">
        <v>1263.118</v>
      </c>
      <c r="G13" s="7"/>
    </row>
    <row r="14" spans="1:7" s="4" customFormat="1" ht="22.5" customHeight="1">
      <c r="A14" s="15" t="s">
        <v>12</v>
      </c>
      <c r="B14" s="5">
        <f t="shared" si="0"/>
        <v>941.713</v>
      </c>
      <c r="C14" s="11">
        <v>103.076</v>
      </c>
      <c r="D14" s="11"/>
      <c r="E14" s="11">
        <v>230.42</v>
      </c>
      <c r="F14" s="12">
        <v>608.217</v>
      </c>
      <c r="G14" s="13"/>
    </row>
    <row r="15" spans="1:7" s="4" customFormat="1" ht="22.5" customHeight="1">
      <c r="A15" s="58" t="s">
        <v>6</v>
      </c>
      <c r="B15" s="5">
        <f t="shared" si="0"/>
        <v>1301.47</v>
      </c>
      <c r="C15" s="17">
        <f>C16+C17</f>
        <v>1301.47</v>
      </c>
      <c r="D15" s="8"/>
      <c r="E15" s="8"/>
      <c r="F15" s="18">
        <f>F16+F17</f>
        <v>0</v>
      </c>
      <c r="G15" s="13"/>
    </row>
    <row r="16" spans="1:7" s="4" customFormat="1" ht="22.5" customHeight="1">
      <c r="A16" s="15" t="s">
        <v>13</v>
      </c>
      <c r="B16" s="5">
        <f t="shared" si="0"/>
        <v>1300.949</v>
      </c>
      <c r="C16" s="8">
        <v>1300.949</v>
      </c>
      <c r="D16" s="8"/>
      <c r="E16" s="17"/>
      <c r="F16" s="18"/>
      <c r="G16" s="13"/>
    </row>
    <row r="17" spans="1:7" s="4" customFormat="1" ht="22.5" customHeight="1">
      <c r="A17" s="15" t="s">
        <v>10</v>
      </c>
      <c r="B17" s="5">
        <f t="shared" si="0"/>
        <v>0.521</v>
      </c>
      <c r="C17" s="17">
        <f>C18+C19</f>
        <v>0.521</v>
      </c>
      <c r="D17" s="8"/>
      <c r="E17" s="17">
        <f>E18+E19</f>
        <v>0</v>
      </c>
      <c r="F17" s="18">
        <f>F18+F19</f>
        <v>0</v>
      </c>
      <c r="G17" s="13"/>
    </row>
    <row r="18" spans="1:7" s="4" customFormat="1" ht="22.5" customHeight="1">
      <c r="A18" s="15" t="s">
        <v>11</v>
      </c>
      <c r="B18" s="5">
        <f t="shared" si="0"/>
        <v>0.521</v>
      </c>
      <c r="C18" s="72">
        <v>0.521</v>
      </c>
      <c r="D18" s="72"/>
      <c r="E18" s="72"/>
      <c r="F18" s="73"/>
      <c r="G18" s="13"/>
    </row>
    <row r="19" spans="1:7" s="4" customFormat="1" ht="22.5" customHeight="1">
      <c r="A19" s="15" t="s">
        <v>12</v>
      </c>
      <c r="B19" s="5">
        <f t="shared" si="0"/>
        <v>0</v>
      </c>
      <c r="C19" s="72"/>
      <c r="D19" s="72"/>
      <c r="E19" s="72"/>
      <c r="F19" s="73"/>
      <c r="G19" s="13"/>
    </row>
    <row r="20" spans="1:7" s="4" customFormat="1" ht="41.25" customHeight="1">
      <c r="A20" s="58" t="s">
        <v>37</v>
      </c>
      <c r="B20" s="5">
        <f t="shared" si="0"/>
        <v>2985.17</v>
      </c>
      <c r="C20" s="17">
        <f>C21+C22</f>
        <v>2355.554</v>
      </c>
      <c r="D20" s="17">
        <f>D21+D22</f>
        <v>444.837</v>
      </c>
      <c r="E20" s="17">
        <f>E21+E22</f>
        <v>135.553</v>
      </c>
      <c r="F20" s="18">
        <f>F21+F22</f>
        <v>49.226</v>
      </c>
      <c r="G20" s="13"/>
    </row>
    <row r="21" spans="1:7" s="4" customFormat="1" ht="22.5" customHeight="1">
      <c r="A21" s="15" t="s">
        <v>13</v>
      </c>
      <c r="B21" s="5">
        <f t="shared" si="0"/>
        <v>2968.874</v>
      </c>
      <c r="C21" s="8">
        <v>2355.554</v>
      </c>
      <c r="D21" s="8">
        <v>444.837</v>
      </c>
      <c r="E21" s="8">
        <v>135.553</v>
      </c>
      <c r="F21" s="9">
        <v>32.93</v>
      </c>
      <c r="G21" s="13"/>
    </row>
    <row r="22" spans="1:7" s="4" customFormat="1" ht="22.5" customHeight="1">
      <c r="A22" s="15" t="s">
        <v>10</v>
      </c>
      <c r="B22" s="5">
        <f t="shared" si="0"/>
        <v>16.296</v>
      </c>
      <c r="C22" s="17"/>
      <c r="D22" s="17"/>
      <c r="E22" s="17">
        <f>E23+E24</f>
        <v>0</v>
      </c>
      <c r="F22" s="18">
        <f>F23+F24</f>
        <v>16.296</v>
      </c>
      <c r="G22" s="13"/>
    </row>
    <row r="23" spans="1:7" s="4" customFormat="1" ht="22.5" customHeight="1">
      <c r="A23" s="15" t="s">
        <v>11</v>
      </c>
      <c r="B23" s="5">
        <f t="shared" si="0"/>
        <v>16.296</v>
      </c>
      <c r="C23" s="11"/>
      <c r="D23" s="11"/>
      <c r="E23" s="11"/>
      <c r="F23" s="92">
        <v>16.296</v>
      </c>
      <c r="G23" s="13"/>
    </row>
    <row r="24" spans="1:7" s="4" customFormat="1" ht="22.5" customHeight="1">
      <c r="A24" s="15" t="s">
        <v>12</v>
      </c>
      <c r="B24" s="5">
        <f t="shared" si="0"/>
        <v>0</v>
      </c>
      <c r="C24" s="11"/>
      <c r="D24" s="11"/>
      <c r="E24" s="11"/>
      <c r="F24" s="12"/>
      <c r="G24" s="7"/>
    </row>
    <row r="25" spans="1:7" s="4" customFormat="1" ht="29.25" customHeight="1">
      <c r="A25" s="58" t="s">
        <v>7</v>
      </c>
      <c r="B25" s="5">
        <f t="shared" si="0"/>
        <v>13071.844000000001</v>
      </c>
      <c r="C25" s="17">
        <f>C26+C27</f>
        <v>7038.593</v>
      </c>
      <c r="D25" s="17">
        <f>D26+D27</f>
        <v>0</v>
      </c>
      <c r="E25" s="17">
        <f>E26+E27</f>
        <v>2159.06</v>
      </c>
      <c r="F25" s="18">
        <f>F26+F27</f>
        <v>3874.1910000000003</v>
      </c>
      <c r="G25" s="7"/>
    </row>
    <row r="26" spans="1:7" s="4" customFormat="1" ht="22.5" customHeight="1">
      <c r="A26" s="15" t="s">
        <v>13</v>
      </c>
      <c r="B26" s="5">
        <f t="shared" si="0"/>
        <v>10420.366</v>
      </c>
      <c r="C26" s="8">
        <v>7038.593</v>
      </c>
      <c r="D26" s="8"/>
      <c r="E26" s="17">
        <v>2085.63</v>
      </c>
      <c r="F26" s="18">
        <v>1296.143</v>
      </c>
      <c r="G26" s="7"/>
    </row>
    <row r="27" spans="1:7" s="4" customFormat="1" ht="22.5" customHeight="1">
      <c r="A27" s="15" t="s">
        <v>10</v>
      </c>
      <c r="B27" s="5">
        <f t="shared" si="0"/>
        <v>2651.478</v>
      </c>
      <c r="C27" s="8"/>
      <c r="D27" s="8"/>
      <c r="E27" s="17">
        <f>E28+E29</f>
        <v>73.43</v>
      </c>
      <c r="F27" s="18">
        <f>F28+F29</f>
        <v>2578.0480000000002</v>
      </c>
      <c r="G27" s="7"/>
    </row>
    <row r="28" spans="1:7" s="4" customFormat="1" ht="22.5" customHeight="1">
      <c r="A28" s="15" t="s">
        <v>11</v>
      </c>
      <c r="B28" s="5">
        <f t="shared" si="0"/>
        <v>2514.049</v>
      </c>
      <c r="C28" s="70"/>
      <c r="D28" s="70"/>
      <c r="E28" s="11">
        <v>73.43</v>
      </c>
      <c r="F28" s="12">
        <v>2440.619</v>
      </c>
      <c r="G28" s="7"/>
    </row>
    <row r="29" spans="1:7" s="4" customFormat="1" ht="22.5" customHeight="1">
      <c r="A29" s="15" t="s">
        <v>12</v>
      </c>
      <c r="B29" s="5">
        <f t="shared" si="0"/>
        <v>137.429</v>
      </c>
      <c r="C29" s="70"/>
      <c r="D29" s="70"/>
      <c r="E29" s="70"/>
      <c r="F29" s="71">
        <f>107.281+30.148</f>
        <v>137.429</v>
      </c>
      <c r="G29" s="7"/>
    </row>
    <row r="30" spans="1:7" s="4" customFormat="1" ht="22.5" customHeight="1">
      <c r="A30" s="58" t="s">
        <v>38</v>
      </c>
      <c r="B30" s="5">
        <f t="shared" si="0"/>
        <v>103.839</v>
      </c>
      <c r="C30" s="17"/>
      <c r="D30" s="17"/>
      <c r="E30" s="17">
        <f>E31+E32</f>
        <v>60.428</v>
      </c>
      <c r="F30" s="18">
        <f>F31+F32</f>
        <v>43.411</v>
      </c>
      <c r="G30" s="7"/>
    </row>
    <row r="31" spans="1:7" s="4" customFormat="1" ht="22.5" customHeight="1">
      <c r="A31" s="15" t="s">
        <v>13</v>
      </c>
      <c r="B31" s="5">
        <f t="shared" si="0"/>
        <v>82.791</v>
      </c>
      <c r="C31" s="8"/>
      <c r="D31" s="8"/>
      <c r="E31" s="88">
        <v>60.428</v>
      </c>
      <c r="F31" s="89">
        <v>22.363</v>
      </c>
      <c r="G31" s="7"/>
    </row>
    <row r="32" spans="1:7" s="4" customFormat="1" ht="22.5" customHeight="1">
      <c r="A32" s="15" t="s">
        <v>10</v>
      </c>
      <c r="B32" s="5">
        <f t="shared" si="0"/>
        <v>21.048000000000002</v>
      </c>
      <c r="C32" s="8"/>
      <c r="D32" s="8"/>
      <c r="E32" s="17">
        <f>E33+E34</f>
        <v>0</v>
      </c>
      <c r="F32" s="18">
        <f>F33+F34</f>
        <v>21.048000000000002</v>
      </c>
      <c r="G32" s="7"/>
    </row>
    <row r="33" spans="1:7" s="4" customFormat="1" ht="22.5" customHeight="1">
      <c r="A33" s="15" t="s">
        <v>11</v>
      </c>
      <c r="B33" s="5">
        <f t="shared" si="0"/>
        <v>16.097</v>
      </c>
      <c r="C33" s="70"/>
      <c r="D33" s="70"/>
      <c r="E33" s="94"/>
      <c r="F33" s="92">
        <v>16.097</v>
      </c>
      <c r="G33" s="7"/>
    </row>
    <row r="34" spans="1:7" s="4" customFormat="1" ht="22.5" customHeight="1">
      <c r="A34" s="15" t="s">
        <v>12</v>
      </c>
      <c r="B34" s="5">
        <f t="shared" si="0"/>
        <v>4.951</v>
      </c>
      <c r="C34" s="70"/>
      <c r="D34" s="70"/>
      <c r="E34" s="94"/>
      <c r="F34" s="92">
        <v>4.951</v>
      </c>
      <c r="G34" s="7"/>
    </row>
    <row r="35" spans="1:7" s="4" customFormat="1" ht="26.25" customHeight="1">
      <c r="A35" s="58" t="s">
        <v>39</v>
      </c>
      <c r="B35" s="5">
        <f t="shared" si="0"/>
        <v>170.163</v>
      </c>
      <c r="C35" s="17">
        <f>C36+C37</f>
        <v>0</v>
      </c>
      <c r="D35" s="72"/>
      <c r="E35" s="17">
        <f>E36+E37</f>
        <v>0</v>
      </c>
      <c r="F35" s="18">
        <f>F36+F37</f>
        <v>170.163</v>
      </c>
      <c r="G35" s="7"/>
    </row>
    <row r="36" spans="1:7" s="4" customFormat="1" ht="22.5" customHeight="1">
      <c r="A36" s="15" t="s">
        <v>13</v>
      </c>
      <c r="B36" s="5">
        <f t="shared" si="0"/>
        <v>154.497</v>
      </c>
      <c r="C36" s="8"/>
      <c r="D36" s="8"/>
      <c r="E36" s="8"/>
      <c r="F36" s="9">
        <v>154.497</v>
      </c>
      <c r="G36" s="13"/>
    </row>
    <row r="37" spans="1:7" s="4" customFormat="1" ht="22.5" customHeight="1">
      <c r="A37" s="15" t="s">
        <v>10</v>
      </c>
      <c r="B37" s="5">
        <f t="shared" si="0"/>
        <v>15.666</v>
      </c>
      <c r="C37" s="17">
        <f>C38+C39</f>
        <v>0</v>
      </c>
      <c r="D37" s="8"/>
      <c r="E37" s="17">
        <f>E38+E39</f>
        <v>0</v>
      </c>
      <c r="F37" s="18">
        <f>F38+F39</f>
        <v>15.666</v>
      </c>
      <c r="G37" s="13"/>
    </row>
    <row r="38" spans="1:7" s="4" customFormat="1" ht="22.5" customHeight="1">
      <c r="A38" s="15" t="s">
        <v>11</v>
      </c>
      <c r="B38" s="5">
        <f t="shared" si="0"/>
        <v>0</v>
      </c>
      <c r="C38" s="72"/>
      <c r="D38" s="72"/>
      <c r="E38" s="72"/>
      <c r="F38" s="12"/>
      <c r="G38" s="13"/>
    </row>
    <row r="39" spans="1:7" s="4" customFormat="1" ht="22.5" customHeight="1">
      <c r="A39" s="15" t="s">
        <v>12</v>
      </c>
      <c r="B39" s="5">
        <f t="shared" si="0"/>
        <v>15.666</v>
      </c>
      <c r="C39" s="72"/>
      <c r="D39" s="72"/>
      <c r="E39" s="72"/>
      <c r="F39" s="12">
        <v>15.666</v>
      </c>
      <c r="G39" s="13"/>
    </row>
    <row r="40" spans="1:7" s="4" customFormat="1" ht="22.5" customHeight="1">
      <c r="A40" s="58" t="s">
        <v>24</v>
      </c>
      <c r="B40" s="5">
        <f t="shared" si="0"/>
        <v>0</v>
      </c>
      <c r="C40" s="72">
        <f>C41+C42</f>
        <v>0</v>
      </c>
      <c r="D40" s="72"/>
      <c r="E40" s="72">
        <f>E41+E42</f>
        <v>0</v>
      </c>
      <c r="F40" s="18"/>
      <c r="G40" s="13"/>
    </row>
    <row r="41" spans="1:7" s="4" customFormat="1" ht="22.5" customHeight="1">
      <c r="A41" s="15" t="s">
        <v>13</v>
      </c>
      <c r="B41" s="5">
        <f t="shared" si="0"/>
        <v>0</v>
      </c>
      <c r="C41" s="8"/>
      <c r="D41" s="8"/>
      <c r="E41" s="8"/>
      <c r="F41" s="9"/>
      <c r="G41" s="13"/>
    </row>
    <row r="42" spans="1:7" s="4" customFormat="1" ht="22.5" customHeight="1">
      <c r="A42" s="15" t="s">
        <v>10</v>
      </c>
      <c r="B42" s="5">
        <f t="shared" si="0"/>
        <v>0</v>
      </c>
      <c r="C42" s="8"/>
      <c r="D42" s="8"/>
      <c r="E42" s="17">
        <f>E43+E44</f>
        <v>0</v>
      </c>
      <c r="F42" s="18">
        <f>F43+F44</f>
        <v>0</v>
      </c>
      <c r="G42" s="13"/>
    </row>
    <row r="43" spans="1:7" s="4" customFormat="1" ht="22.5" customHeight="1">
      <c r="A43" s="15" t="s">
        <v>11</v>
      </c>
      <c r="B43" s="5">
        <f t="shared" si="0"/>
        <v>0</v>
      </c>
      <c r="C43" s="72"/>
      <c r="D43" s="72"/>
      <c r="E43" s="72"/>
      <c r="F43" s="12"/>
      <c r="G43" s="13"/>
    </row>
    <row r="44" spans="1:7" s="4" customFormat="1" ht="22.5" customHeight="1">
      <c r="A44" s="15" t="s">
        <v>12</v>
      </c>
      <c r="B44" s="5">
        <f t="shared" si="0"/>
        <v>0</v>
      </c>
      <c r="C44" s="72"/>
      <c r="D44" s="72"/>
      <c r="E44" s="72"/>
      <c r="F44" s="12"/>
      <c r="G44" s="13"/>
    </row>
    <row r="45" spans="1:7" s="4" customFormat="1" ht="22.5" customHeight="1">
      <c r="A45" s="27" t="s">
        <v>26</v>
      </c>
      <c r="B45" s="5">
        <f t="shared" si="0"/>
        <v>469.58799999999997</v>
      </c>
      <c r="C45" s="10"/>
      <c r="D45" s="8"/>
      <c r="E45" s="8">
        <f>E46+E47</f>
        <v>334.633</v>
      </c>
      <c r="F45" s="9">
        <f>F46+F47</f>
        <v>134.955</v>
      </c>
      <c r="G45" s="13"/>
    </row>
    <row r="46" spans="1:7" s="4" customFormat="1" ht="22.5" customHeight="1">
      <c r="A46" s="15" t="s">
        <v>13</v>
      </c>
      <c r="B46" s="5">
        <f t="shared" si="0"/>
        <v>469.58799999999997</v>
      </c>
      <c r="C46" s="8"/>
      <c r="D46" s="8"/>
      <c r="E46" s="17">
        <v>334.633</v>
      </c>
      <c r="F46" s="18">
        <v>134.955</v>
      </c>
      <c r="G46" s="13"/>
    </row>
    <row r="47" spans="1:7" s="4" customFormat="1" ht="22.5" customHeight="1">
      <c r="A47" s="15" t="s">
        <v>10</v>
      </c>
      <c r="B47" s="5">
        <f t="shared" si="0"/>
        <v>0</v>
      </c>
      <c r="C47" s="8"/>
      <c r="D47" s="8"/>
      <c r="E47" s="17">
        <f>E48+E49</f>
        <v>0</v>
      </c>
      <c r="F47" s="18">
        <f>F48+F49</f>
        <v>0</v>
      </c>
      <c r="G47" s="13"/>
    </row>
    <row r="48" spans="1:7" s="4" customFormat="1" ht="22.5" customHeight="1">
      <c r="A48" s="15" t="s">
        <v>11</v>
      </c>
      <c r="B48" s="5">
        <f t="shared" si="0"/>
        <v>0</v>
      </c>
      <c r="C48" s="10"/>
      <c r="D48" s="8"/>
      <c r="E48" s="10"/>
      <c r="F48" s="14"/>
      <c r="G48" s="13"/>
    </row>
    <row r="49" spans="1:7" s="4" customFormat="1" ht="22.5" customHeight="1">
      <c r="A49" s="15" t="s">
        <v>12</v>
      </c>
      <c r="B49" s="5">
        <f t="shared" si="0"/>
        <v>0</v>
      </c>
      <c r="C49" s="10"/>
      <c r="D49" s="8"/>
      <c r="E49" s="10"/>
      <c r="F49" s="14"/>
      <c r="G49" s="13"/>
    </row>
    <row r="50" spans="1:7" s="4" customFormat="1" ht="22.5" customHeight="1">
      <c r="A50" s="27" t="s">
        <v>4</v>
      </c>
      <c r="B50" s="5">
        <f t="shared" si="0"/>
        <v>744.127</v>
      </c>
      <c r="C50" s="8">
        <f>C51+C52</f>
        <v>744.127</v>
      </c>
      <c r="D50" s="8"/>
      <c r="E50" s="8"/>
      <c r="F50" s="9"/>
      <c r="G50" s="13"/>
    </row>
    <row r="51" spans="1:7" s="4" customFormat="1" ht="22.5" customHeight="1">
      <c r="A51" s="97" t="s">
        <v>48</v>
      </c>
      <c r="B51" s="5">
        <f t="shared" si="0"/>
        <v>744.127</v>
      </c>
      <c r="C51" s="17">
        <v>744.127</v>
      </c>
      <c r="D51" s="8"/>
      <c r="E51" s="17">
        <f>E50-E52</f>
        <v>0</v>
      </c>
      <c r="F51" s="18">
        <f>F50-F52</f>
        <v>0</v>
      </c>
      <c r="G51" s="7"/>
    </row>
    <row r="52" spans="1:7" s="4" customFormat="1" ht="22.5" customHeight="1">
      <c r="A52" s="15" t="s">
        <v>10</v>
      </c>
      <c r="B52" s="5">
        <f t="shared" si="0"/>
        <v>0</v>
      </c>
      <c r="C52" s="17">
        <f>C53+C54</f>
        <v>0</v>
      </c>
      <c r="D52" s="8"/>
      <c r="E52" s="17">
        <f>E53+E54</f>
        <v>0</v>
      </c>
      <c r="F52" s="18">
        <f>F53+F54</f>
        <v>0</v>
      </c>
      <c r="G52" s="7"/>
    </row>
    <row r="53" spans="1:7" s="4" customFormat="1" ht="22.5" customHeight="1">
      <c r="A53" s="15" t="s">
        <v>11</v>
      </c>
      <c r="B53" s="5">
        <f t="shared" si="0"/>
        <v>0</v>
      </c>
      <c r="C53" s="70"/>
      <c r="D53" s="8"/>
      <c r="E53" s="8"/>
      <c r="F53" s="9"/>
      <c r="G53" s="7"/>
    </row>
    <row r="54" spans="1:7" s="4" customFormat="1" ht="22.5" customHeight="1">
      <c r="A54" s="15" t="s">
        <v>12</v>
      </c>
      <c r="B54" s="5">
        <f aca="true" t="shared" si="1" ref="B54:B113">C54+D54+E54+F54</f>
        <v>0</v>
      </c>
      <c r="C54" s="70"/>
      <c r="D54" s="8"/>
      <c r="E54" s="8"/>
      <c r="F54" s="9"/>
      <c r="G54" s="7"/>
    </row>
    <row r="55" spans="1:6" s="7" customFormat="1" ht="62.25" customHeight="1">
      <c r="A55" s="58" t="s">
        <v>40</v>
      </c>
      <c r="B55" s="5">
        <f t="shared" si="1"/>
        <v>1863.832</v>
      </c>
      <c r="C55" s="17">
        <f>C56+C57</f>
        <v>955.732</v>
      </c>
      <c r="D55" s="17">
        <f>D56+D57</f>
        <v>0</v>
      </c>
      <c r="E55" s="17">
        <f>E56+E57</f>
        <v>430.409</v>
      </c>
      <c r="F55" s="18">
        <f>F56+F57</f>
        <v>477.69100000000003</v>
      </c>
    </row>
    <row r="56" spans="1:6" s="59" customFormat="1" ht="22.5" customHeight="1">
      <c r="A56" s="15" t="s">
        <v>13</v>
      </c>
      <c r="B56" s="5">
        <f t="shared" si="1"/>
        <v>1532.068</v>
      </c>
      <c r="C56" s="17">
        <v>955.732</v>
      </c>
      <c r="D56" s="17">
        <v>0</v>
      </c>
      <c r="E56" s="17">
        <v>430.409</v>
      </c>
      <c r="F56" s="18">
        <v>145.927</v>
      </c>
    </row>
    <row r="57" spans="1:6" s="59" customFormat="1" ht="22.5" customHeight="1">
      <c r="A57" s="15" t="s">
        <v>10</v>
      </c>
      <c r="B57" s="5">
        <f t="shared" si="1"/>
        <v>331.764</v>
      </c>
      <c r="C57" s="17">
        <f>C58+C59</f>
        <v>0</v>
      </c>
      <c r="D57" s="17">
        <f>D58+D59</f>
        <v>0</v>
      </c>
      <c r="E57" s="17">
        <f>E58+E59</f>
        <v>0</v>
      </c>
      <c r="F57" s="18">
        <f>F58+F59</f>
        <v>331.764</v>
      </c>
    </row>
    <row r="58" spans="1:7" s="63" customFormat="1" ht="22.5" customHeight="1">
      <c r="A58" s="15" t="s">
        <v>11</v>
      </c>
      <c r="B58" s="5">
        <f t="shared" si="1"/>
        <v>295.336</v>
      </c>
      <c r="C58" s="70"/>
      <c r="D58" s="8"/>
      <c r="E58" s="8"/>
      <c r="F58" s="9">
        <v>295.336</v>
      </c>
      <c r="G58" s="7"/>
    </row>
    <row r="59" spans="1:7" s="63" customFormat="1" ht="22.5" customHeight="1">
      <c r="A59" s="15" t="s">
        <v>12</v>
      </c>
      <c r="B59" s="5">
        <f t="shared" si="1"/>
        <v>36.428</v>
      </c>
      <c r="C59" s="70"/>
      <c r="D59" s="8"/>
      <c r="E59" s="8"/>
      <c r="F59" s="9">
        <v>36.428</v>
      </c>
      <c r="G59" s="7"/>
    </row>
    <row r="60" spans="1:7" s="63" customFormat="1" ht="22.5" customHeight="1">
      <c r="A60" s="58" t="s">
        <v>25</v>
      </c>
      <c r="B60" s="5">
        <f t="shared" si="1"/>
        <v>2227.525</v>
      </c>
      <c r="C60" s="8">
        <f>C61+C62</f>
        <v>2213.245</v>
      </c>
      <c r="D60" s="8">
        <f>D61+D62</f>
        <v>0</v>
      </c>
      <c r="E60" s="8">
        <f>E61+E62</f>
        <v>0</v>
      </c>
      <c r="F60" s="9">
        <f>F61+F62</f>
        <v>14.28</v>
      </c>
      <c r="G60" s="7"/>
    </row>
    <row r="61" spans="1:7" s="63" customFormat="1" ht="22.5" customHeight="1">
      <c r="A61" s="15" t="s">
        <v>13</v>
      </c>
      <c r="B61" s="5">
        <f t="shared" si="1"/>
        <v>2227.525</v>
      </c>
      <c r="C61" s="82">
        <v>2213.245</v>
      </c>
      <c r="D61" s="82"/>
      <c r="E61" s="82"/>
      <c r="F61" s="83">
        <v>14.28</v>
      </c>
      <c r="G61" s="47"/>
    </row>
    <row r="62" spans="1:7" s="63" customFormat="1" ht="22.5" customHeight="1">
      <c r="A62" s="15" t="s">
        <v>10</v>
      </c>
      <c r="B62" s="5">
        <f t="shared" si="1"/>
        <v>0</v>
      </c>
      <c r="C62" s="17">
        <f>C63+C64</f>
        <v>0</v>
      </c>
      <c r="D62" s="8"/>
      <c r="E62" s="17">
        <f>E63+E64</f>
        <v>0</v>
      </c>
      <c r="F62" s="18">
        <f>F63+F64</f>
        <v>0</v>
      </c>
      <c r="G62" s="7"/>
    </row>
    <row r="63" spans="1:7" s="63" customFormat="1" ht="22.5" customHeight="1">
      <c r="A63" s="15" t="s">
        <v>11</v>
      </c>
      <c r="B63" s="5">
        <f t="shared" si="1"/>
        <v>0</v>
      </c>
      <c r="C63" s="70"/>
      <c r="D63" s="8"/>
      <c r="E63" s="8"/>
      <c r="F63" s="9"/>
      <c r="G63" s="7"/>
    </row>
    <row r="64" spans="1:6" s="63" customFormat="1" ht="22.5" customHeight="1">
      <c r="A64" s="15" t="s">
        <v>12</v>
      </c>
      <c r="B64" s="5">
        <f t="shared" si="1"/>
        <v>0</v>
      </c>
      <c r="C64" s="70"/>
      <c r="D64" s="8"/>
      <c r="E64" s="8"/>
      <c r="F64" s="9"/>
    </row>
    <row r="65" spans="1:6" s="59" customFormat="1" ht="22.5" customHeight="1">
      <c r="A65" s="58" t="s">
        <v>41</v>
      </c>
      <c r="B65" s="5">
        <f t="shared" si="1"/>
        <v>28.788</v>
      </c>
      <c r="C65" s="8">
        <f>C66+C67</f>
        <v>0</v>
      </c>
      <c r="D65" s="8"/>
      <c r="E65" s="8">
        <f>E66+E67</f>
        <v>28.788</v>
      </c>
      <c r="F65" s="9">
        <f>F66+F67</f>
        <v>0</v>
      </c>
    </row>
    <row r="66" spans="1:6" s="59" customFormat="1" ht="22.5" customHeight="1">
      <c r="A66" s="15" t="s">
        <v>13</v>
      </c>
      <c r="B66" s="5">
        <f t="shared" si="1"/>
        <v>28.788</v>
      </c>
      <c r="C66" s="82"/>
      <c r="D66" s="82"/>
      <c r="E66" s="82">
        <v>28.788</v>
      </c>
      <c r="F66" s="83"/>
    </row>
    <row r="67" spans="1:6" s="59" customFormat="1" ht="22.5" customHeight="1">
      <c r="A67" s="15" t="s">
        <v>10</v>
      </c>
      <c r="B67" s="5">
        <f t="shared" si="1"/>
        <v>0</v>
      </c>
      <c r="C67" s="70"/>
      <c r="D67" s="8"/>
      <c r="E67" s="8">
        <f>E69+E68</f>
        <v>0</v>
      </c>
      <c r="F67" s="9">
        <f>F69+F68</f>
        <v>0</v>
      </c>
    </row>
    <row r="68" spans="1:6" s="59" customFormat="1" ht="22.5" customHeight="1">
      <c r="A68" s="15" t="s">
        <v>11</v>
      </c>
      <c r="B68" s="5">
        <f t="shared" si="1"/>
        <v>0</v>
      </c>
      <c r="C68" s="70"/>
      <c r="D68" s="8"/>
      <c r="E68" s="10"/>
      <c r="F68" s="14"/>
    </row>
    <row r="69" spans="1:6" s="59" customFormat="1" ht="22.5" customHeight="1">
      <c r="A69" s="15" t="s">
        <v>12</v>
      </c>
      <c r="B69" s="5">
        <f t="shared" si="1"/>
        <v>0</v>
      </c>
      <c r="C69" s="70"/>
      <c r="D69" s="8"/>
      <c r="E69" s="10"/>
      <c r="F69" s="14"/>
    </row>
    <row r="70" spans="1:6" s="59" customFormat="1" ht="37.5" customHeight="1">
      <c r="A70" s="58" t="s">
        <v>23</v>
      </c>
      <c r="B70" s="5">
        <f t="shared" si="1"/>
        <v>103.027</v>
      </c>
      <c r="C70" s="70"/>
      <c r="D70" s="8"/>
      <c r="E70" s="8">
        <f>E71+E72</f>
        <v>0</v>
      </c>
      <c r="F70" s="9">
        <f>F71+F72</f>
        <v>103.027</v>
      </c>
    </row>
    <row r="71" spans="1:6" s="59" customFormat="1" ht="22.5" customHeight="1">
      <c r="A71" s="15" t="s">
        <v>13</v>
      </c>
      <c r="B71" s="5">
        <f t="shared" si="1"/>
        <v>9.385</v>
      </c>
      <c r="C71" s="70"/>
      <c r="D71" s="8"/>
      <c r="E71" s="8"/>
      <c r="F71" s="84">
        <v>9.385</v>
      </c>
    </row>
    <row r="72" spans="1:6" s="59" customFormat="1" ht="22.5" customHeight="1">
      <c r="A72" s="15" t="s">
        <v>10</v>
      </c>
      <c r="B72" s="5">
        <f t="shared" si="1"/>
        <v>93.642</v>
      </c>
      <c r="C72" s="70"/>
      <c r="D72" s="8"/>
      <c r="E72" s="8">
        <f>E74+E73</f>
        <v>0</v>
      </c>
      <c r="F72" s="9">
        <f>F74+F73</f>
        <v>93.642</v>
      </c>
    </row>
    <row r="73" spans="1:6" s="59" customFormat="1" ht="22.5" customHeight="1">
      <c r="A73" s="15" t="s">
        <v>11</v>
      </c>
      <c r="B73" s="5">
        <f t="shared" si="1"/>
        <v>93.642</v>
      </c>
      <c r="C73" s="70"/>
      <c r="D73" s="8"/>
      <c r="E73" s="10"/>
      <c r="F73" s="14">
        <v>93.642</v>
      </c>
    </row>
    <row r="74" spans="1:6" s="59" customFormat="1" ht="22.5" customHeight="1">
      <c r="A74" s="15" t="s">
        <v>12</v>
      </c>
      <c r="B74" s="5">
        <f t="shared" si="1"/>
        <v>0</v>
      </c>
      <c r="C74" s="70"/>
      <c r="D74" s="8"/>
      <c r="E74" s="10"/>
      <c r="F74" s="14"/>
    </row>
    <row r="75" spans="1:6" s="59" customFormat="1" ht="37.5" customHeight="1">
      <c r="A75" s="58" t="s">
        <v>42</v>
      </c>
      <c r="B75" s="5">
        <f t="shared" si="1"/>
        <v>282.247</v>
      </c>
      <c r="C75" s="70"/>
      <c r="D75" s="8"/>
      <c r="E75" s="8">
        <f>E76+E77</f>
        <v>23.652</v>
      </c>
      <c r="F75" s="9">
        <f>F76+F77</f>
        <v>258.595</v>
      </c>
    </row>
    <row r="76" spans="1:6" s="59" customFormat="1" ht="22.5" customHeight="1">
      <c r="A76" s="15" t="s">
        <v>13</v>
      </c>
      <c r="B76" s="5">
        <f t="shared" si="1"/>
        <v>81.548</v>
      </c>
      <c r="C76" s="70"/>
      <c r="D76" s="8"/>
      <c r="E76" s="90">
        <v>23.652</v>
      </c>
      <c r="F76" s="84">
        <v>57.896</v>
      </c>
    </row>
    <row r="77" spans="1:6" s="59" customFormat="1" ht="22.5" customHeight="1">
      <c r="A77" s="15" t="s">
        <v>10</v>
      </c>
      <c r="B77" s="5">
        <f t="shared" si="1"/>
        <v>200.699</v>
      </c>
      <c r="C77" s="70"/>
      <c r="D77" s="8"/>
      <c r="E77" s="8">
        <f>E79+E78</f>
        <v>0</v>
      </c>
      <c r="F77" s="9">
        <f>F79+F78</f>
        <v>200.699</v>
      </c>
    </row>
    <row r="78" spans="1:6" s="59" customFormat="1" ht="22.5" customHeight="1">
      <c r="A78" s="15" t="s">
        <v>11</v>
      </c>
      <c r="B78" s="5">
        <f t="shared" si="1"/>
        <v>0</v>
      </c>
      <c r="C78" s="70"/>
      <c r="D78" s="8"/>
      <c r="E78" s="8"/>
      <c r="F78" s="9"/>
    </row>
    <row r="79" spans="1:6" s="59" customFormat="1" ht="22.5" customHeight="1">
      <c r="A79" s="15" t="s">
        <v>12</v>
      </c>
      <c r="B79" s="5">
        <f t="shared" si="1"/>
        <v>200.699</v>
      </c>
      <c r="C79" s="70"/>
      <c r="D79" s="8"/>
      <c r="E79" s="8"/>
      <c r="F79" s="9">
        <v>200.699</v>
      </c>
    </row>
    <row r="80" spans="1:6" s="59" customFormat="1" ht="22.5" customHeight="1">
      <c r="A80" s="58" t="s">
        <v>21</v>
      </c>
      <c r="B80" s="5">
        <f t="shared" si="1"/>
        <v>458.01</v>
      </c>
      <c r="C80" s="8">
        <f>C81+C82</f>
        <v>0</v>
      </c>
      <c r="D80" s="8"/>
      <c r="E80" s="8">
        <f>E81+E82</f>
        <v>458.01</v>
      </c>
      <c r="F80" s="9">
        <f>F81+F82</f>
        <v>0</v>
      </c>
    </row>
    <row r="81" spans="1:6" s="59" customFormat="1" ht="22.5" customHeight="1">
      <c r="A81" s="15" t="s">
        <v>13</v>
      </c>
      <c r="B81" s="5">
        <f t="shared" si="1"/>
        <v>458.01</v>
      </c>
      <c r="C81" s="82"/>
      <c r="D81" s="82"/>
      <c r="E81" s="82">
        <v>458.01</v>
      </c>
      <c r="F81" s="83"/>
    </row>
    <row r="82" spans="1:6" s="59" customFormat="1" ht="22.5" customHeight="1">
      <c r="A82" s="15" t="s">
        <v>10</v>
      </c>
      <c r="B82" s="5">
        <f t="shared" si="1"/>
        <v>0</v>
      </c>
      <c r="C82" s="70"/>
      <c r="D82" s="8"/>
      <c r="E82" s="8">
        <f>E84+E83</f>
        <v>0</v>
      </c>
      <c r="F82" s="9">
        <f>F84+F83</f>
        <v>0</v>
      </c>
    </row>
    <row r="83" spans="1:6" s="59" customFormat="1" ht="22.5" customHeight="1">
      <c r="A83" s="15" t="s">
        <v>11</v>
      </c>
      <c r="B83" s="5">
        <f t="shared" si="1"/>
        <v>0</v>
      </c>
      <c r="C83" s="70"/>
      <c r="D83" s="8"/>
      <c r="E83" s="10"/>
      <c r="F83" s="14"/>
    </row>
    <row r="84" spans="1:6" s="59" customFormat="1" ht="22.5" customHeight="1">
      <c r="A84" s="15" t="s">
        <v>12</v>
      </c>
      <c r="B84" s="5">
        <f t="shared" si="1"/>
        <v>0</v>
      </c>
      <c r="C84" s="70"/>
      <c r="D84" s="8"/>
      <c r="E84" s="10"/>
      <c r="F84" s="14"/>
    </row>
    <row r="85" spans="1:6" s="59" customFormat="1" ht="22.5" customHeight="1">
      <c r="A85" s="58" t="s">
        <v>22</v>
      </c>
      <c r="B85" s="5">
        <f t="shared" si="1"/>
        <v>527.566</v>
      </c>
      <c r="C85" s="70"/>
      <c r="D85" s="8"/>
      <c r="E85" s="8">
        <f>E86+E87</f>
        <v>527.566</v>
      </c>
      <c r="F85" s="9">
        <f>F86+F87</f>
        <v>0</v>
      </c>
    </row>
    <row r="86" spans="1:6" s="59" customFormat="1" ht="22.5" customHeight="1">
      <c r="A86" s="15" t="s">
        <v>13</v>
      </c>
      <c r="B86" s="5">
        <f t="shared" si="1"/>
        <v>527.566</v>
      </c>
      <c r="C86" s="70"/>
      <c r="D86" s="8"/>
      <c r="E86" s="8">
        <v>527.566</v>
      </c>
      <c r="F86" s="84"/>
    </row>
    <row r="87" spans="1:6" s="59" customFormat="1" ht="22.5" customHeight="1">
      <c r="A87" s="15" t="s">
        <v>10</v>
      </c>
      <c r="B87" s="5">
        <f t="shared" si="1"/>
        <v>0</v>
      </c>
      <c r="C87" s="70"/>
      <c r="D87" s="8"/>
      <c r="E87" s="8">
        <f>E89+E88</f>
        <v>0</v>
      </c>
      <c r="F87" s="9">
        <f>F89+F88</f>
        <v>0</v>
      </c>
    </row>
    <row r="88" spans="1:6" s="59" customFormat="1" ht="22.5" customHeight="1">
      <c r="A88" s="15" t="s">
        <v>11</v>
      </c>
      <c r="B88" s="5">
        <f t="shared" si="1"/>
        <v>0</v>
      </c>
      <c r="C88" s="70"/>
      <c r="D88" s="8"/>
      <c r="E88" s="10"/>
      <c r="F88" s="14"/>
    </row>
    <row r="89" spans="1:6" s="59" customFormat="1" ht="22.5" customHeight="1">
      <c r="A89" s="15" t="s">
        <v>12</v>
      </c>
      <c r="B89" s="5">
        <f t="shared" si="1"/>
        <v>0</v>
      </c>
      <c r="C89" s="70"/>
      <c r="D89" s="8"/>
      <c r="E89" s="10"/>
      <c r="F89" s="14"/>
    </row>
    <row r="90" spans="1:6" s="59" customFormat="1" ht="22.5" customHeight="1">
      <c r="A90" s="58" t="s">
        <v>49</v>
      </c>
      <c r="B90" s="5">
        <f t="shared" si="1"/>
        <v>0</v>
      </c>
      <c r="C90" s="70"/>
      <c r="D90" s="8"/>
      <c r="E90" s="8">
        <f>E91+E92</f>
        <v>0</v>
      </c>
      <c r="F90" s="9">
        <f>F91+F92</f>
        <v>0</v>
      </c>
    </row>
    <row r="91" spans="1:6" s="59" customFormat="1" ht="22.5" customHeight="1">
      <c r="A91" s="15" t="s">
        <v>13</v>
      </c>
      <c r="B91" s="5">
        <f t="shared" si="1"/>
        <v>0</v>
      </c>
      <c r="C91" s="70"/>
      <c r="D91" s="8"/>
      <c r="E91" s="8"/>
      <c r="F91" s="84"/>
    </row>
    <row r="92" spans="1:6" s="59" customFormat="1" ht="22.5" customHeight="1">
      <c r="A92" s="15" t="s">
        <v>10</v>
      </c>
      <c r="B92" s="5">
        <f t="shared" si="1"/>
        <v>0</v>
      </c>
      <c r="C92" s="70"/>
      <c r="D92" s="8"/>
      <c r="E92" s="8">
        <f>E94+E93</f>
        <v>0</v>
      </c>
      <c r="F92" s="9">
        <f>F94+F93</f>
        <v>0</v>
      </c>
    </row>
    <row r="93" spans="1:6" s="59" customFormat="1" ht="22.5" customHeight="1">
      <c r="A93" s="15" t="s">
        <v>11</v>
      </c>
      <c r="B93" s="5">
        <f t="shared" si="1"/>
        <v>0</v>
      </c>
      <c r="C93" s="70"/>
      <c r="D93" s="8"/>
      <c r="E93" s="8"/>
      <c r="F93" s="9"/>
    </row>
    <row r="94" spans="1:6" s="59" customFormat="1" ht="22.5" customHeight="1">
      <c r="A94" s="15" t="s">
        <v>12</v>
      </c>
      <c r="B94" s="5">
        <f t="shared" si="1"/>
        <v>0</v>
      </c>
      <c r="C94" s="70"/>
      <c r="D94" s="8"/>
      <c r="E94" s="8"/>
      <c r="F94" s="9"/>
    </row>
    <row r="95" spans="1:6" s="59" customFormat="1" ht="22.5" customHeight="1">
      <c r="A95" s="58" t="s">
        <v>70</v>
      </c>
      <c r="B95" s="5">
        <f t="shared" si="1"/>
        <v>164.187</v>
      </c>
      <c r="C95" s="17"/>
      <c r="D95" s="8"/>
      <c r="E95" s="17">
        <f>E96+E97</f>
        <v>164.187</v>
      </c>
      <c r="F95" s="18">
        <f>F96+F97</f>
        <v>0</v>
      </c>
    </row>
    <row r="96" spans="1:6" s="59" customFormat="1" ht="22.5" customHeight="1">
      <c r="A96" s="15" t="s">
        <v>13</v>
      </c>
      <c r="B96" s="5">
        <f t="shared" si="1"/>
        <v>123.177</v>
      </c>
      <c r="C96" s="8"/>
      <c r="D96" s="8"/>
      <c r="E96" s="17">
        <v>123.177</v>
      </c>
      <c r="F96" s="18"/>
    </row>
    <row r="97" spans="1:6" s="59" customFormat="1" ht="22.5" customHeight="1">
      <c r="A97" s="15" t="s">
        <v>10</v>
      </c>
      <c r="B97" s="5">
        <f t="shared" si="1"/>
        <v>41.01</v>
      </c>
      <c r="C97" s="8"/>
      <c r="D97" s="8"/>
      <c r="E97" s="17">
        <f>E98+E99</f>
        <v>41.01</v>
      </c>
      <c r="F97" s="18">
        <f>F98+F99</f>
        <v>0</v>
      </c>
    </row>
    <row r="98" spans="1:6" s="59" customFormat="1" ht="22.5" customHeight="1">
      <c r="A98" s="15" t="s">
        <v>11</v>
      </c>
      <c r="B98" s="5">
        <f t="shared" si="1"/>
        <v>41.01</v>
      </c>
      <c r="C98" s="8"/>
      <c r="D98" s="8"/>
      <c r="E98" s="70">
        <v>41.01</v>
      </c>
      <c r="F98" s="71"/>
    </row>
    <row r="99" spans="1:6" s="59" customFormat="1" ht="22.5" customHeight="1">
      <c r="A99" s="15" t="s">
        <v>12</v>
      </c>
      <c r="B99" s="5">
        <f t="shared" si="1"/>
        <v>0</v>
      </c>
      <c r="C99" s="8"/>
      <c r="D99" s="8"/>
      <c r="E99" s="70"/>
      <c r="F99" s="71"/>
    </row>
    <row r="100" spans="1:6" s="59" customFormat="1" ht="22.5" customHeight="1">
      <c r="A100" s="58" t="s">
        <v>8</v>
      </c>
      <c r="B100" s="5">
        <f t="shared" si="1"/>
        <v>1813.989</v>
      </c>
      <c r="C100" s="17"/>
      <c r="D100" s="8"/>
      <c r="E100" s="17">
        <f>E101+E102</f>
        <v>931.3890000000001</v>
      </c>
      <c r="F100" s="18">
        <f>F101+F102</f>
        <v>882.6</v>
      </c>
    </row>
    <row r="101" spans="1:6" s="59" customFormat="1" ht="22.5" customHeight="1">
      <c r="A101" s="15" t="s">
        <v>13</v>
      </c>
      <c r="B101" s="5">
        <f t="shared" si="1"/>
        <v>953.363</v>
      </c>
      <c r="C101" s="8"/>
      <c r="D101" s="8"/>
      <c r="E101" s="8">
        <v>739.979</v>
      </c>
      <c r="F101" s="9">
        <v>213.384</v>
      </c>
    </row>
    <row r="102" spans="1:6" s="59" customFormat="1" ht="22.5" customHeight="1">
      <c r="A102" s="15" t="s">
        <v>10</v>
      </c>
      <c r="B102" s="5">
        <f t="shared" si="1"/>
        <v>860.626</v>
      </c>
      <c r="C102" s="8"/>
      <c r="D102" s="8"/>
      <c r="E102" s="17">
        <f>E103+E104</f>
        <v>191.41000000000003</v>
      </c>
      <c r="F102" s="18">
        <f>F103+F104</f>
        <v>669.216</v>
      </c>
    </row>
    <row r="103" spans="1:6" s="59" customFormat="1" ht="22.5" customHeight="1">
      <c r="A103" s="15" t="s">
        <v>11</v>
      </c>
      <c r="B103" s="5">
        <f t="shared" si="1"/>
        <v>665.981</v>
      </c>
      <c r="C103" s="8"/>
      <c r="D103" s="8"/>
      <c r="E103" s="11">
        <v>179.431</v>
      </c>
      <c r="F103" s="12">
        <v>486.55</v>
      </c>
    </row>
    <row r="104" spans="1:6" s="59" customFormat="1" ht="22.5" customHeight="1">
      <c r="A104" s="15" t="s">
        <v>12</v>
      </c>
      <c r="B104" s="5">
        <f t="shared" si="1"/>
        <v>194.64499999999998</v>
      </c>
      <c r="C104" s="8"/>
      <c r="D104" s="8"/>
      <c r="E104" s="70">
        <f>2.619+9.36</f>
        <v>11.979</v>
      </c>
      <c r="F104" s="71">
        <f>115.866+66.8</f>
        <v>182.666</v>
      </c>
    </row>
    <row r="105" spans="1:6" s="59" customFormat="1" ht="22.5" customHeight="1">
      <c r="A105" s="58" t="s">
        <v>5</v>
      </c>
      <c r="B105" s="5">
        <f t="shared" si="1"/>
        <v>3507.891</v>
      </c>
      <c r="C105" s="17">
        <f>C106+C107</f>
        <v>325.363</v>
      </c>
      <c r="D105" s="8"/>
      <c r="E105" s="17">
        <f>E106+E107</f>
        <v>2201.2290000000003</v>
      </c>
      <c r="F105" s="18">
        <f>F106+F107</f>
        <v>981.299</v>
      </c>
    </row>
    <row r="106" spans="1:6" s="59" customFormat="1" ht="22.5" customHeight="1">
      <c r="A106" s="15" t="s">
        <v>13</v>
      </c>
      <c r="B106" s="5">
        <f t="shared" si="1"/>
        <v>2180.2400000000002</v>
      </c>
      <c r="C106" s="17">
        <v>325.363</v>
      </c>
      <c r="D106" s="17"/>
      <c r="E106" s="8">
        <v>1528.044</v>
      </c>
      <c r="F106" s="9">
        <v>326.833</v>
      </c>
    </row>
    <row r="107" spans="1:6" s="59" customFormat="1" ht="22.5" customHeight="1">
      <c r="A107" s="15" t="s">
        <v>10</v>
      </c>
      <c r="B107" s="5">
        <f t="shared" si="1"/>
        <v>1327.651</v>
      </c>
      <c r="C107" s="8"/>
      <c r="D107" s="8"/>
      <c r="E107" s="17">
        <f>E108+E109</f>
        <v>673.1850000000001</v>
      </c>
      <c r="F107" s="18">
        <f>F108+F109</f>
        <v>654.466</v>
      </c>
    </row>
    <row r="108" spans="1:6" s="59" customFormat="1" ht="22.5" customHeight="1">
      <c r="A108" s="15" t="s">
        <v>11</v>
      </c>
      <c r="B108" s="5">
        <f t="shared" si="1"/>
        <v>1175.622</v>
      </c>
      <c r="C108" s="72"/>
      <c r="D108" s="72"/>
      <c r="E108" s="11">
        <v>611.225</v>
      </c>
      <c r="F108" s="12">
        <v>564.397</v>
      </c>
    </row>
    <row r="109" spans="1:6" s="59" customFormat="1" ht="22.5" customHeight="1">
      <c r="A109" s="15" t="s">
        <v>12</v>
      </c>
      <c r="B109" s="5">
        <f t="shared" si="1"/>
        <v>152.029</v>
      </c>
      <c r="C109" s="70"/>
      <c r="D109" s="70"/>
      <c r="E109" s="70">
        <f>13.145+48.815</f>
        <v>61.959999999999994</v>
      </c>
      <c r="F109" s="71">
        <v>90.069</v>
      </c>
    </row>
    <row r="110" spans="1:6" s="59" customFormat="1" ht="22.5" customHeight="1">
      <c r="A110" s="58" t="s">
        <v>43</v>
      </c>
      <c r="B110" s="5">
        <f t="shared" si="1"/>
        <v>6024.971</v>
      </c>
      <c r="C110" s="17"/>
      <c r="D110" s="8"/>
      <c r="E110" s="17">
        <f>E111+E112</f>
        <v>1458.128</v>
      </c>
      <c r="F110" s="18">
        <f>F111+F112</f>
        <v>4566.843</v>
      </c>
    </row>
    <row r="111" spans="1:6" s="59" customFormat="1" ht="22.5" customHeight="1">
      <c r="A111" s="15" t="s">
        <v>13</v>
      </c>
      <c r="B111" s="5">
        <f t="shared" si="1"/>
        <v>2696.544</v>
      </c>
      <c r="C111" s="8"/>
      <c r="D111" s="8"/>
      <c r="E111" s="17">
        <v>1410.298</v>
      </c>
      <c r="F111" s="18">
        <v>1286.246</v>
      </c>
    </row>
    <row r="112" spans="1:6" s="59" customFormat="1" ht="22.5" customHeight="1">
      <c r="A112" s="15" t="s">
        <v>10</v>
      </c>
      <c r="B112" s="5">
        <f t="shared" si="1"/>
        <v>3328.4269999999997</v>
      </c>
      <c r="C112" s="8"/>
      <c r="D112" s="8"/>
      <c r="E112" s="17">
        <f>E113+E114</f>
        <v>47.83</v>
      </c>
      <c r="F112" s="18">
        <f>F113+F114</f>
        <v>3280.5969999999998</v>
      </c>
    </row>
    <row r="113" spans="1:6" s="59" customFormat="1" ht="22.5" customHeight="1">
      <c r="A113" s="15" t="s">
        <v>11</v>
      </c>
      <c r="B113" s="5">
        <f t="shared" si="1"/>
        <v>341.119</v>
      </c>
      <c r="C113" s="10"/>
      <c r="D113" s="8"/>
      <c r="E113" s="11">
        <v>19.396</v>
      </c>
      <c r="F113" s="12">
        <v>321.723</v>
      </c>
    </row>
    <row r="114" spans="1:6" s="59" customFormat="1" ht="22.5" customHeight="1" thickBot="1">
      <c r="A114" s="16" t="s">
        <v>12</v>
      </c>
      <c r="B114" s="29">
        <f>C114+D114+E114+F114</f>
        <v>2987.308</v>
      </c>
      <c r="C114" s="21"/>
      <c r="D114" s="19"/>
      <c r="E114" s="91">
        <v>28.434</v>
      </c>
      <c r="F114" s="93">
        <v>2958.874</v>
      </c>
    </row>
    <row r="115" spans="1:6" ht="18.75" thickBot="1">
      <c r="A115" s="172"/>
      <c r="B115" s="165"/>
      <c r="C115" s="165"/>
      <c r="D115" s="165"/>
      <c r="E115" s="165"/>
      <c r="F115" s="165"/>
    </row>
    <row r="116" spans="1:6" ht="24" thickBot="1">
      <c r="A116" s="163" t="s">
        <v>72</v>
      </c>
      <c r="B116" s="40">
        <f>C116+D116+E116+F116</f>
        <v>125466.862</v>
      </c>
      <c r="C116" s="41">
        <f>C5+C10+C15+C20+C25+C30+C35+C40+C45+C50+C55+C60+C65+C70+C75+C80+C85+C90+C95+C100+C105+C110</f>
        <v>49931.321</v>
      </c>
      <c r="D116" s="41">
        <f>D5+D10+D15+D20+D25+D30+D35+D40+D45+D50+D55+D60+D65+D70+D75+D80+D85+D90+D95+D100+D105+D110</f>
        <v>1948.022</v>
      </c>
      <c r="E116" s="41">
        <f>E5+E10+E15+E20+E25+E30+E35+E40+E45+E50+E55+E60+E65+E70+E75+E80+E85+E90+E95+E100+E105+E110</f>
        <v>33846.935</v>
      </c>
      <c r="F116" s="41">
        <f>F5+F10+F15+F20+F25+F30+F35+F40+F45+F50+F55+F60+F65+F70+F75+F80+F85+F90+F95+F100+F105+F110</f>
        <v>39740.584</v>
      </c>
    </row>
    <row r="118" spans="2:6" ht="18">
      <c r="B118" s="33"/>
      <c r="C118" s="33"/>
      <c r="D118" s="33"/>
      <c r="E118" s="33"/>
      <c r="F118" s="33"/>
    </row>
    <row r="119" spans="2:6" ht="18">
      <c r="B119" s="33"/>
      <c r="C119" s="33"/>
      <c r="D119" s="33"/>
      <c r="E119" s="33"/>
      <c r="F119" s="33"/>
    </row>
    <row r="120" spans="2:6" ht="18">
      <c r="B120" s="33"/>
      <c r="C120" s="33"/>
      <c r="D120" s="33"/>
      <c r="E120" s="33"/>
      <c r="F120" s="33"/>
    </row>
    <row r="121" spans="2:6" ht="18">
      <c r="B121" s="173"/>
      <c r="C121" s="173"/>
      <c r="D121" s="173"/>
      <c r="E121" s="173"/>
      <c r="F121" s="173"/>
    </row>
    <row r="122" spans="2:6" ht="18">
      <c r="B122" s="33"/>
      <c r="C122" s="33"/>
      <c r="D122" s="33"/>
      <c r="E122" s="33"/>
      <c r="F122" s="33"/>
    </row>
    <row r="123" spans="2:6" ht="18">
      <c r="B123" s="33"/>
      <c r="C123" s="33"/>
      <c r="D123" s="33"/>
      <c r="E123" s="33"/>
      <c r="F123" s="33"/>
    </row>
    <row r="124" spans="2:6" ht="18">
      <c r="B124" s="33"/>
      <c r="C124" s="173"/>
      <c r="D124" s="33"/>
      <c r="E124" s="33"/>
      <c r="F124" s="33"/>
    </row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3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zoomScale="60" zoomScaleNormal="6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3" sqref="M13:N13"/>
    </sheetView>
  </sheetViews>
  <sheetFormatPr defaultColWidth="9.00390625" defaultRowHeight="12.75"/>
  <cols>
    <col min="1" max="1" width="69.625" style="0" customWidth="1"/>
    <col min="2" max="6" width="24.00390625" style="3" customWidth="1"/>
    <col min="7" max="9" width="9.125" style="3" customWidth="1"/>
  </cols>
  <sheetData>
    <row r="1" spans="1:6" s="33" customFormat="1" ht="23.25">
      <c r="A1" s="185" t="s">
        <v>29</v>
      </c>
      <c r="B1" s="185"/>
      <c r="C1" s="185"/>
      <c r="D1" s="185"/>
      <c r="E1" s="185"/>
      <c r="F1" s="185"/>
    </row>
    <row r="2" spans="1:6" s="37" customFormat="1" ht="23.25">
      <c r="A2" s="186" t="s">
        <v>59</v>
      </c>
      <c r="B2" s="186"/>
      <c r="C2" s="186"/>
      <c r="D2" s="187"/>
      <c r="E2" s="187"/>
      <c r="F2" s="187"/>
    </row>
    <row r="3" spans="1:6" ht="18.75" thickBot="1">
      <c r="A3" s="3"/>
      <c r="F3" s="56" t="s">
        <v>28</v>
      </c>
    </row>
    <row r="4" spans="1:6" s="1" customFormat="1" ht="29.25" customHeight="1" thickBot="1">
      <c r="A4" s="114" t="s">
        <v>76</v>
      </c>
      <c r="B4" s="115"/>
      <c r="C4" s="116" t="s">
        <v>0</v>
      </c>
      <c r="D4" s="116" t="s">
        <v>1</v>
      </c>
      <c r="E4" s="116" t="s">
        <v>2</v>
      </c>
      <c r="F4" s="117" t="s">
        <v>3</v>
      </c>
    </row>
    <row r="5" spans="1:6" s="2" customFormat="1" ht="39.75" customHeight="1">
      <c r="A5" s="57" t="s">
        <v>35</v>
      </c>
      <c r="B5" s="44">
        <f aca="true" t="shared" si="0" ref="B5:B53">C5+D5+E5+F5</f>
        <v>81084.821</v>
      </c>
      <c r="C5" s="74">
        <f>C6+C7</f>
        <v>32894.07</v>
      </c>
      <c r="D5" s="74">
        <f>D6+D7</f>
        <v>1179.234</v>
      </c>
      <c r="E5" s="74">
        <f>E6+E7</f>
        <v>21458.151000000005</v>
      </c>
      <c r="F5" s="75">
        <f>F6+F7</f>
        <v>25553.366</v>
      </c>
    </row>
    <row r="6" spans="1:6" s="2" customFormat="1" ht="21" customHeight="1">
      <c r="A6" s="15" t="s">
        <v>13</v>
      </c>
      <c r="B6" s="5">
        <f t="shared" si="0"/>
        <v>63929.08700000001</v>
      </c>
      <c r="C6" s="17">
        <f>32894.07-C7</f>
        <v>32858.892</v>
      </c>
      <c r="D6" s="17">
        <f>1179.234-D7</f>
        <v>1177.694</v>
      </c>
      <c r="E6" s="17">
        <f>21458.151-E7</f>
        <v>20479.213000000003</v>
      </c>
      <c r="F6" s="18">
        <f>25553.366-F7</f>
        <v>9413.288</v>
      </c>
    </row>
    <row r="7" spans="1:6" s="2" customFormat="1" ht="21" customHeight="1">
      <c r="A7" s="15" t="s">
        <v>10</v>
      </c>
      <c r="B7" s="5">
        <f t="shared" si="0"/>
        <v>17155.734</v>
      </c>
      <c r="C7" s="17">
        <f>C8+C9</f>
        <v>35.178</v>
      </c>
      <c r="D7" s="17">
        <f>D8+D9</f>
        <v>1.54</v>
      </c>
      <c r="E7" s="17">
        <f>E8+E9</f>
        <v>978.9380000000001</v>
      </c>
      <c r="F7" s="18">
        <f>F8+F9</f>
        <v>16140.078000000001</v>
      </c>
    </row>
    <row r="8" spans="1:6" s="2" customFormat="1" ht="21" customHeight="1">
      <c r="A8" s="15" t="s">
        <v>11</v>
      </c>
      <c r="B8" s="5">
        <f t="shared" si="0"/>
        <v>5069.883</v>
      </c>
      <c r="C8" s="70">
        <v>10.697</v>
      </c>
      <c r="D8" s="70">
        <v>0</v>
      </c>
      <c r="E8" s="70">
        <v>225.262</v>
      </c>
      <c r="F8" s="71">
        <v>4833.924</v>
      </c>
    </row>
    <row r="9" spans="1:6" s="2" customFormat="1" ht="21" customHeight="1">
      <c r="A9" s="15" t="s">
        <v>12</v>
      </c>
      <c r="B9" s="5">
        <f t="shared" si="0"/>
        <v>12085.851</v>
      </c>
      <c r="C9" s="70">
        <v>24.481</v>
      </c>
      <c r="D9" s="70">
        <v>1.54</v>
      </c>
      <c r="E9" s="70">
        <v>753.676</v>
      </c>
      <c r="F9" s="71">
        <v>11306.154</v>
      </c>
    </row>
    <row r="10" spans="1:6" s="2" customFormat="1" ht="21" customHeight="1">
      <c r="A10" s="58" t="s">
        <v>36</v>
      </c>
      <c r="B10" s="5">
        <f t="shared" si="0"/>
        <v>6451.686</v>
      </c>
      <c r="C10" s="17">
        <f>C11+C12</f>
        <v>961.72</v>
      </c>
      <c r="D10" s="17"/>
      <c r="E10" s="17">
        <f>E11+E12</f>
        <v>2479.629</v>
      </c>
      <c r="F10" s="18">
        <f>F11+F12</f>
        <v>3010.3369999999995</v>
      </c>
    </row>
    <row r="11" spans="1:6" s="2" customFormat="1" ht="21" customHeight="1">
      <c r="A11" s="15" t="s">
        <v>13</v>
      </c>
      <c r="B11" s="5">
        <f t="shared" si="0"/>
        <v>3950.983</v>
      </c>
      <c r="C11" s="8">
        <v>818.105</v>
      </c>
      <c r="D11" s="8"/>
      <c r="E11" s="8">
        <v>2020.817</v>
      </c>
      <c r="F11" s="9">
        <v>1112.061</v>
      </c>
    </row>
    <row r="12" spans="1:6" s="2" customFormat="1" ht="21" customHeight="1">
      <c r="A12" s="15" t="s">
        <v>10</v>
      </c>
      <c r="B12" s="5">
        <f t="shared" si="0"/>
        <v>2500.703</v>
      </c>
      <c r="C12" s="17">
        <f>C13+C14</f>
        <v>143.615</v>
      </c>
      <c r="D12" s="8"/>
      <c r="E12" s="17">
        <f>E13+E14</f>
        <v>458.812</v>
      </c>
      <c r="F12" s="18">
        <f>F13+F14</f>
        <v>1898.2759999999998</v>
      </c>
    </row>
    <row r="13" spans="1:6" s="2" customFormat="1" ht="21" customHeight="1">
      <c r="A13" s="15" t="s">
        <v>11</v>
      </c>
      <c r="B13" s="5">
        <f t="shared" si="0"/>
        <v>1364.087</v>
      </c>
      <c r="C13" s="11"/>
      <c r="D13" s="11"/>
      <c r="E13" s="11">
        <v>63.97</v>
      </c>
      <c r="F13" s="12">
        <v>1300.117</v>
      </c>
    </row>
    <row r="14" spans="1:6" s="2" customFormat="1" ht="21" customHeight="1">
      <c r="A14" s="15" t="s">
        <v>12</v>
      </c>
      <c r="B14" s="5">
        <f t="shared" si="0"/>
        <v>1136.616</v>
      </c>
      <c r="C14" s="11">
        <v>143.615</v>
      </c>
      <c r="D14" s="11"/>
      <c r="E14" s="11">
        <v>394.842</v>
      </c>
      <c r="F14" s="12">
        <v>598.159</v>
      </c>
    </row>
    <row r="15" spans="1:6" s="2" customFormat="1" ht="21" customHeight="1">
      <c r="A15" s="58" t="s">
        <v>6</v>
      </c>
      <c r="B15" s="5">
        <f t="shared" si="0"/>
        <v>1278.122</v>
      </c>
      <c r="C15" s="17">
        <f>C16+C17</f>
        <v>1278.122</v>
      </c>
      <c r="D15" s="8"/>
      <c r="E15" s="8"/>
      <c r="F15" s="18">
        <f>F16+F17</f>
        <v>0</v>
      </c>
    </row>
    <row r="16" spans="1:6" s="2" customFormat="1" ht="21" customHeight="1">
      <c r="A16" s="15" t="s">
        <v>13</v>
      </c>
      <c r="B16" s="5">
        <f t="shared" si="0"/>
        <v>1275.731</v>
      </c>
      <c r="C16" s="8">
        <v>1275.731</v>
      </c>
      <c r="D16" s="8"/>
      <c r="E16" s="17"/>
      <c r="F16" s="18"/>
    </row>
    <row r="17" spans="1:6" s="2" customFormat="1" ht="21" customHeight="1">
      <c r="A17" s="15" t="s">
        <v>10</v>
      </c>
      <c r="B17" s="5">
        <f t="shared" si="0"/>
        <v>2.391</v>
      </c>
      <c r="C17" s="17">
        <f>C18+C19</f>
        <v>2.391</v>
      </c>
      <c r="D17" s="8"/>
      <c r="E17" s="17">
        <f>E18+E19</f>
        <v>0</v>
      </c>
      <c r="F17" s="18">
        <f>F18+F19</f>
        <v>0</v>
      </c>
    </row>
    <row r="18" spans="1:6" s="2" customFormat="1" ht="21" customHeight="1">
      <c r="A18" s="15" t="s">
        <v>11</v>
      </c>
      <c r="B18" s="5">
        <f t="shared" si="0"/>
        <v>2.391</v>
      </c>
      <c r="C18" s="72">
        <v>2.391</v>
      </c>
      <c r="D18" s="72"/>
      <c r="E18" s="72"/>
      <c r="F18" s="73"/>
    </row>
    <row r="19" spans="1:6" s="2" customFormat="1" ht="21" customHeight="1">
      <c r="A19" s="15" t="s">
        <v>12</v>
      </c>
      <c r="B19" s="5">
        <f t="shared" si="0"/>
        <v>0</v>
      </c>
      <c r="C19" s="72"/>
      <c r="D19" s="72"/>
      <c r="E19" s="72"/>
      <c r="F19" s="73"/>
    </row>
    <row r="20" spans="1:6" s="2" customFormat="1" ht="41.25" customHeight="1">
      <c r="A20" s="58" t="s">
        <v>37</v>
      </c>
      <c r="B20" s="5">
        <f t="shared" si="0"/>
        <v>2898.835</v>
      </c>
      <c r="C20" s="17">
        <f>C21+C22</f>
        <v>2144.876</v>
      </c>
      <c r="D20" s="17">
        <f>D21+D22</f>
        <v>554.817</v>
      </c>
      <c r="E20" s="17">
        <f>E21+E22</f>
        <v>139.964</v>
      </c>
      <c r="F20" s="18">
        <f>F21+F22</f>
        <v>59.178</v>
      </c>
    </row>
    <row r="21" spans="1:6" s="2" customFormat="1" ht="21" customHeight="1">
      <c r="A21" s="15" t="s">
        <v>13</v>
      </c>
      <c r="B21" s="5">
        <f t="shared" si="0"/>
        <v>2880.795</v>
      </c>
      <c r="C21" s="8">
        <v>2144.876</v>
      </c>
      <c r="D21" s="8">
        <v>554.817</v>
      </c>
      <c r="E21" s="8">
        <v>139.964</v>
      </c>
      <c r="F21" s="9">
        <v>41.138</v>
      </c>
    </row>
    <row r="22" spans="1:6" s="2" customFormat="1" ht="21" customHeight="1">
      <c r="A22" s="15" t="s">
        <v>10</v>
      </c>
      <c r="B22" s="5">
        <f t="shared" si="0"/>
        <v>18.04</v>
      </c>
      <c r="C22" s="17">
        <f>C23+C24</f>
        <v>0</v>
      </c>
      <c r="D22" s="8"/>
      <c r="E22" s="17">
        <f>E23+E24</f>
        <v>0</v>
      </c>
      <c r="F22" s="18">
        <f>F23+F24</f>
        <v>18.04</v>
      </c>
    </row>
    <row r="23" spans="1:6" s="2" customFormat="1" ht="21" customHeight="1">
      <c r="A23" s="15" t="s">
        <v>11</v>
      </c>
      <c r="B23" s="5">
        <f t="shared" si="0"/>
        <v>18.04</v>
      </c>
      <c r="C23" s="72"/>
      <c r="D23" s="72"/>
      <c r="E23" s="11"/>
      <c r="F23" s="12">
        <v>18.04</v>
      </c>
    </row>
    <row r="24" spans="1:6" s="2" customFormat="1" ht="21" customHeight="1">
      <c r="A24" s="15" t="s">
        <v>12</v>
      </c>
      <c r="B24" s="5">
        <f t="shared" si="0"/>
        <v>0</v>
      </c>
      <c r="C24" s="11"/>
      <c r="D24" s="11"/>
      <c r="E24" s="11"/>
      <c r="F24" s="12"/>
    </row>
    <row r="25" spans="1:6" s="2" customFormat="1" ht="45" customHeight="1">
      <c r="A25" s="58" t="s">
        <v>7</v>
      </c>
      <c r="B25" s="5">
        <f t="shared" si="0"/>
        <v>13033.105</v>
      </c>
      <c r="C25" s="17">
        <f>C26+C27</f>
        <v>7060.201</v>
      </c>
      <c r="D25" s="17"/>
      <c r="E25" s="17">
        <f>E26+E27</f>
        <v>2175.978</v>
      </c>
      <c r="F25" s="18">
        <f>F26+F27</f>
        <v>3796.9260000000004</v>
      </c>
    </row>
    <row r="26" spans="1:6" s="2" customFormat="1" ht="21" customHeight="1">
      <c r="A26" s="15" t="s">
        <v>13</v>
      </c>
      <c r="B26" s="5">
        <f t="shared" si="0"/>
        <v>10394.845</v>
      </c>
      <c r="C26" s="8">
        <f>5826.588+1233.613</f>
        <v>7060.201</v>
      </c>
      <c r="D26" s="8"/>
      <c r="E26" s="8">
        <v>2102.884</v>
      </c>
      <c r="F26" s="9">
        <v>1231.76</v>
      </c>
    </row>
    <row r="27" spans="1:6" s="2" customFormat="1" ht="21" customHeight="1">
      <c r="A27" s="15" t="s">
        <v>10</v>
      </c>
      <c r="B27" s="5">
        <f t="shared" si="0"/>
        <v>2638.26</v>
      </c>
      <c r="C27" s="8"/>
      <c r="D27" s="8"/>
      <c r="E27" s="17">
        <f>E28+E29</f>
        <v>73.094</v>
      </c>
      <c r="F27" s="18">
        <f>F28+F29</f>
        <v>2565.166</v>
      </c>
    </row>
    <row r="28" spans="1:6" s="2" customFormat="1" ht="21" customHeight="1">
      <c r="A28" s="15" t="s">
        <v>11</v>
      </c>
      <c r="B28" s="5">
        <f t="shared" si="0"/>
        <v>2521.257</v>
      </c>
      <c r="C28" s="72"/>
      <c r="D28" s="72"/>
      <c r="E28" s="11">
        <v>73.094</v>
      </c>
      <c r="F28" s="12">
        <v>2448.163</v>
      </c>
    </row>
    <row r="29" spans="1:6" s="2" customFormat="1" ht="21" customHeight="1">
      <c r="A29" s="15" t="s">
        <v>12</v>
      </c>
      <c r="B29" s="5">
        <f t="shared" si="0"/>
        <v>117.003</v>
      </c>
      <c r="C29" s="8"/>
      <c r="D29" s="72"/>
      <c r="E29" s="11"/>
      <c r="F29" s="12">
        <f>86.667+30.336</f>
        <v>117.003</v>
      </c>
    </row>
    <row r="30" spans="1:6" s="2" customFormat="1" ht="21" customHeight="1">
      <c r="A30" s="58" t="s">
        <v>38</v>
      </c>
      <c r="B30" s="5">
        <f t="shared" si="0"/>
        <v>109.362</v>
      </c>
      <c r="C30" s="72"/>
      <c r="D30" s="72"/>
      <c r="E30" s="17">
        <f>E31+E32</f>
        <v>55.602</v>
      </c>
      <c r="F30" s="18">
        <f>F31+F32</f>
        <v>53.76</v>
      </c>
    </row>
    <row r="31" spans="1:6" s="2" customFormat="1" ht="21" customHeight="1">
      <c r="A31" s="15" t="s">
        <v>13</v>
      </c>
      <c r="B31" s="5">
        <f t="shared" si="0"/>
        <v>80.854</v>
      </c>
      <c r="C31" s="8"/>
      <c r="D31" s="8"/>
      <c r="E31" s="88">
        <v>55.602</v>
      </c>
      <c r="F31" s="89">
        <v>25.252</v>
      </c>
    </row>
    <row r="32" spans="1:6" s="2" customFormat="1" ht="21" customHeight="1">
      <c r="A32" s="15" t="s">
        <v>10</v>
      </c>
      <c r="B32" s="5">
        <f t="shared" si="0"/>
        <v>28.508</v>
      </c>
      <c r="C32" s="8"/>
      <c r="D32" s="8"/>
      <c r="E32" s="17">
        <f>E33+E34</f>
        <v>0</v>
      </c>
      <c r="F32" s="18">
        <f>F33+F34</f>
        <v>28.508</v>
      </c>
    </row>
    <row r="33" spans="1:6" s="2" customFormat="1" ht="21" customHeight="1">
      <c r="A33" s="15" t="s">
        <v>11</v>
      </c>
      <c r="B33" s="5">
        <f t="shared" si="0"/>
        <v>22.333</v>
      </c>
      <c r="C33" s="72"/>
      <c r="D33" s="72"/>
      <c r="E33" s="94"/>
      <c r="F33" s="92">
        <v>22.333</v>
      </c>
    </row>
    <row r="34" spans="1:6" s="2" customFormat="1" ht="21" customHeight="1">
      <c r="A34" s="15" t="s">
        <v>12</v>
      </c>
      <c r="B34" s="5">
        <f t="shared" si="0"/>
        <v>6.175</v>
      </c>
      <c r="C34" s="72"/>
      <c r="D34" s="72"/>
      <c r="E34" s="94"/>
      <c r="F34" s="92">
        <v>6.175</v>
      </c>
    </row>
    <row r="35" spans="1:6" s="2" customFormat="1" ht="21" customHeight="1">
      <c r="A35" s="58" t="s">
        <v>39</v>
      </c>
      <c r="B35" s="5">
        <f t="shared" si="0"/>
        <v>176.847</v>
      </c>
      <c r="C35" s="17">
        <f>C36+C37</f>
        <v>0</v>
      </c>
      <c r="D35" s="72"/>
      <c r="E35" s="17">
        <f>E36+E37</f>
        <v>0</v>
      </c>
      <c r="F35" s="18">
        <f>F36+F37</f>
        <v>176.847</v>
      </c>
    </row>
    <row r="36" spans="1:6" s="2" customFormat="1" ht="21" customHeight="1">
      <c r="A36" s="15" t="s">
        <v>13</v>
      </c>
      <c r="B36" s="5">
        <f t="shared" si="0"/>
        <v>163.794</v>
      </c>
      <c r="C36" s="8"/>
      <c r="D36" s="8"/>
      <c r="E36" s="8"/>
      <c r="F36" s="9">
        <v>163.794</v>
      </c>
    </row>
    <row r="37" spans="1:6" s="2" customFormat="1" ht="21" customHeight="1">
      <c r="A37" s="15" t="s">
        <v>10</v>
      </c>
      <c r="B37" s="5">
        <f t="shared" si="0"/>
        <v>13.053</v>
      </c>
      <c r="C37" s="17">
        <f>C38+C39</f>
        <v>0</v>
      </c>
      <c r="D37" s="8"/>
      <c r="E37" s="17">
        <f>E38+E39</f>
        <v>0</v>
      </c>
      <c r="F37" s="18">
        <f>F38+F39</f>
        <v>13.053</v>
      </c>
    </row>
    <row r="38" spans="1:6" s="2" customFormat="1" ht="21" customHeight="1">
      <c r="A38" s="15" t="s">
        <v>11</v>
      </c>
      <c r="B38" s="5">
        <f t="shared" si="0"/>
        <v>0</v>
      </c>
      <c r="C38" s="72"/>
      <c r="D38" s="72"/>
      <c r="E38" s="72"/>
      <c r="F38" s="12"/>
    </row>
    <row r="39" spans="1:6" s="2" customFormat="1" ht="21" customHeight="1">
      <c r="A39" s="15" t="s">
        <v>12</v>
      </c>
      <c r="B39" s="5">
        <f t="shared" si="0"/>
        <v>13.053</v>
      </c>
      <c r="C39" s="72"/>
      <c r="D39" s="72"/>
      <c r="E39" s="72"/>
      <c r="F39" s="12">
        <v>13.053</v>
      </c>
    </row>
    <row r="40" spans="1:6" s="2" customFormat="1" ht="21" customHeight="1">
      <c r="A40" s="58" t="s">
        <v>24</v>
      </c>
      <c r="B40" s="5">
        <f t="shared" si="0"/>
        <v>0</v>
      </c>
      <c r="C40" s="72">
        <f>C41+C42</f>
        <v>0</v>
      </c>
      <c r="D40" s="72"/>
      <c r="E40" s="72">
        <f>E41+E42</f>
        <v>0</v>
      </c>
      <c r="F40" s="18"/>
    </row>
    <row r="41" spans="1:6" s="2" customFormat="1" ht="21" customHeight="1">
      <c r="A41" s="15" t="s">
        <v>13</v>
      </c>
      <c r="B41" s="5">
        <f t="shared" si="0"/>
        <v>0</v>
      </c>
      <c r="C41" s="8"/>
      <c r="D41" s="8"/>
      <c r="E41" s="8"/>
      <c r="F41" s="9"/>
    </row>
    <row r="42" spans="1:6" s="2" customFormat="1" ht="21" customHeight="1">
      <c r="A42" s="15" t="s">
        <v>10</v>
      </c>
      <c r="B42" s="5">
        <f t="shared" si="0"/>
        <v>0</v>
      </c>
      <c r="C42" s="8"/>
      <c r="D42" s="8"/>
      <c r="E42" s="17">
        <f>E43+E44</f>
        <v>0</v>
      </c>
      <c r="F42" s="18">
        <f>F43+F44</f>
        <v>0</v>
      </c>
    </row>
    <row r="43" spans="1:6" s="2" customFormat="1" ht="21" customHeight="1">
      <c r="A43" s="15" t="s">
        <v>11</v>
      </c>
      <c r="B43" s="5">
        <f t="shared" si="0"/>
        <v>0</v>
      </c>
      <c r="C43" s="72"/>
      <c r="D43" s="72"/>
      <c r="E43" s="72"/>
      <c r="F43" s="12"/>
    </row>
    <row r="44" spans="1:6" s="2" customFormat="1" ht="21" customHeight="1">
      <c r="A44" s="15" t="s">
        <v>12</v>
      </c>
      <c r="B44" s="5">
        <f t="shared" si="0"/>
        <v>0</v>
      </c>
      <c r="C44" s="72"/>
      <c r="D44" s="72"/>
      <c r="E44" s="72"/>
      <c r="F44" s="12"/>
    </row>
    <row r="45" spans="1:6" s="2" customFormat="1" ht="21" customHeight="1">
      <c r="A45" s="27" t="s">
        <v>26</v>
      </c>
      <c r="B45" s="5">
        <f t="shared" si="0"/>
        <v>479.82400000000007</v>
      </c>
      <c r="C45" s="8"/>
      <c r="D45" s="8"/>
      <c r="E45" s="8">
        <f>E46+E47</f>
        <v>347.107</v>
      </c>
      <c r="F45" s="9">
        <f>F46+F47</f>
        <v>132.717</v>
      </c>
    </row>
    <row r="46" spans="1:6" s="2" customFormat="1" ht="21" customHeight="1">
      <c r="A46" s="15" t="s">
        <v>13</v>
      </c>
      <c r="B46" s="5">
        <f t="shared" si="0"/>
        <v>479.82400000000007</v>
      </c>
      <c r="C46" s="8"/>
      <c r="D46" s="8"/>
      <c r="E46" s="17">
        <v>347.107</v>
      </c>
      <c r="F46" s="18">
        <v>132.717</v>
      </c>
    </row>
    <row r="47" spans="1:6" s="2" customFormat="1" ht="21" customHeight="1">
      <c r="A47" s="15" t="s">
        <v>10</v>
      </c>
      <c r="B47" s="5">
        <f t="shared" si="0"/>
        <v>0</v>
      </c>
      <c r="C47" s="8"/>
      <c r="D47" s="8"/>
      <c r="E47" s="17">
        <f>E48+E49</f>
        <v>0</v>
      </c>
      <c r="F47" s="18">
        <f>F48+F49</f>
        <v>0</v>
      </c>
    </row>
    <row r="48" spans="1:6" s="2" customFormat="1" ht="21" customHeight="1">
      <c r="A48" s="15" t="s">
        <v>11</v>
      </c>
      <c r="B48" s="5">
        <f t="shared" si="0"/>
        <v>0</v>
      </c>
      <c r="C48" s="10"/>
      <c r="D48" s="8"/>
      <c r="E48" s="10"/>
      <c r="F48" s="14"/>
    </row>
    <row r="49" spans="1:6" s="2" customFormat="1" ht="21" customHeight="1">
      <c r="A49" s="15" t="s">
        <v>12</v>
      </c>
      <c r="B49" s="5">
        <f t="shared" si="0"/>
        <v>0</v>
      </c>
      <c r="C49" s="10"/>
      <c r="D49" s="8"/>
      <c r="E49" s="10"/>
      <c r="F49" s="14"/>
    </row>
    <row r="50" spans="1:6" s="2" customFormat="1" ht="21" customHeight="1">
      <c r="A50" s="27" t="s">
        <v>4</v>
      </c>
      <c r="B50" s="5">
        <f t="shared" si="0"/>
        <v>905.122</v>
      </c>
      <c r="C50" s="17">
        <f>C51+C52</f>
        <v>905.122</v>
      </c>
      <c r="D50" s="8"/>
      <c r="E50" s="8"/>
      <c r="F50" s="9"/>
    </row>
    <row r="51" spans="1:6" s="2" customFormat="1" ht="21" customHeight="1">
      <c r="A51" s="97" t="s">
        <v>48</v>
      </c>
      <c r="B51" s="5">
        <f t="shared" si="0"/>
        <v>905.122</v>
      </c>
      <c r="C51" s="17">
        <v>905.122</v>
      </c>
      <c r="D51" s="8"/>
      <c r="E51" s="17">
        <f>E50-E52</f>
        <v>0</v>
      </c>
      <c r="F51" s="18">
        <f>F50-F52</f>
        <v>0</v>
      </c>
    </row>
    <row r="52" spans="1:6" s="2" customFormat="1" ht="21" customHeight="1">
      <c r="A52" s="15" t="s">
        <v>10</v>
      </c>
      <c r="B52" s="5">
        <f t="shared" si="0"/>
        <v>0</v>
      </c>
      <c r="C52" s="17">
        <f>C53+C54</f>
        <v>0</v>
      </c>
      <c r="D52" s="8"/>
      <c r="E52" s="17">
        <f>E53+E54</f>
        <v>0</v>
      </c>
      <c r="F52" s="18">
        <f>F53+F54</f>
        <v>0</v>
      </c>
    </row>
    <row r="53" spans="1:6" s="2" customFormat="1" ht="21" customHeight="1">
      <c r="A53" s="15" t="s">
        <v>11</v>
      </c>
      <c r="B53" s="5">
        <f t="shared" si="0"/>
        <v>0</v>
      </c>
      <c r="C53" s="70"/>
      <c r="D53" s="8"/>
      <c r="E53" s="8"/>
      <c r="F53" s="9"/>
    </row>
    <row r="54" spans="1:6" s="2" customFormat="1" ht="21" customHeight="1">
      <c r="A54" s="15" t="s">
        <v>12</v>
      </c>
      <c r="B54" s="5">
        <f aca="true" t="shared" si="1" ref="B54:B113">C54+D54+E54+F54</f>
        <v>0</v>
      </c>
      <c r="C54" s="70"/>
      <c r="D54" s="8"/>
      <c r="E54" s="8"/>
      <c r="F54" s="9"/>
    </row>
    <row r="55" spans="1:6" s="6" customFormat="1" ht="60" customHeight="1">
      <c r="A55" s="58" t="s">
        <v>40</v>
      </c>
      <c r="B55" s="5">
        <f t="shared" si="1"/>
        <v>1715.866</v>
      </c>
      <c r="C55" s="17">
        <f>C56+C57</f>
        <v>781.048</v>
      </c>
      <c r="D55" s="17">
        <f>D56+D57</f>
        <v>0</v>
      </c>
      <c r="E55" s="17">
        <f>E56+E57</f>
        <v>428.662</v>
      </c>
      <c r="F55" s="18">
        <f>F56+F57</f>
        <v>506.156</v>
      </c>
    </row>
    <row r="56" spans="1:6" ht="21" customHeight="1">
      <c r="A56" s="15" t="s">
        <v>13</v>
      </c>
      <c r="B56" s="5">
        <f t="shared" si="1"/>
        <v>1372.087</v>
      </c>
      <c r="C56" s="17">
        <v>781.048</v>
      </c>
      <c r="D56" s="17"/>
      <c r="E56" s="17">
        <v>428.662</v>
      </c>
      <c r="F56" s="18">
        <v>162.377</v>
      </c>
    </row>
    <row r="57" spans="1:6" ht="21" customHeight="1">
      <c r="A57" s="15" t="s">
        <v>10</v>
      </c>
      <c r="B57" s="5">
        <f t="shared" si="1"/>
        <v>343.779</v>
      </c>
      <c r="C57" s="17">
        <f>C58+C59</f>
        <v>0</v>
      </c>
      <c r="D57" s="17">
        <f>D58+D59</f>
        <v>0</v>
      </c>
      <c r="E57" s="17">
        <f>E58+E59</f>
        <v>0</v>
      </c>
      <c r="F57" s="18">
        <f>F58+F59</f>
        <v>343.779</v>
      </c>
    </row>
    <row r="58" spans="1:6" s="33" customFormat="1" ht="21" customHeight="1">
      <c r="A58" s="15" t="s">
        <v>11</v>
      </c>
      <c r="B58" s="5">
        <f t="shared" si="1"/>
        <v>301.704</v>
      </c>
      <c r="C58" s="70"/>
      <c r="D58" s="8"/>
      <c r="E58" s="8"/>
      <c r="F58" s="9">
        <v>301.704</v>
      </c>
    </row>
    <row r="59" spans="1:6" s="33" customFormat="1" ht="21" customHeight="1">
      <c r="A59" s="15" t="s">
        <v>12</v>
      </c>
      <c r="B59" s="5">
        <f t="shared" si="1"/>
        <v>42.075</v>
      </c>
      <c r="C59" s="70"/>
      <c r="D59" s="8"/>
      <c r="E59" s="8"/>
      <c r="F59" s="9">
        <v>42.075</v>
      </c>
    </row>
    <row r="60" spans="1:6" s="33" customFormat="1" ht="21" customHeight="1">
      <c r="A60" s="58" t="s">
        <v>25</v>
      </c>
      <c r="B60" s="5">
        <f t="shared" si="1"/>
        <v>2199.639</v>
      </c>
      <c r="C60" s="17">
        <f>C61+C62</f>
        <v>2182.813</v>
      </c>
      <c r="D60" s="17">
        <f>D61+D62</f>
        <v>0</v>
      </c>
      <c r="E60" s="17">
        <f>E61+E62</f>
        <v>0</v>
      </c>
      <c r="F60" s="18">
        <f>F61+F62</f>
        <v>16.826</v>
      </c>
    </row>
    <row r="61" spans="1:6" s="33" customFormat="1" ht="21" customHeight="1">
      <c r="A61" s="15" t="s">
        <v>13</v>
      </c>
      <c r="B61" s="5">
        <f t="shared" si="1"/>
        <v>2199.639</v>
      </c>
      <c r="C61" s="82">
        <v>2182.813</v>
      </c>
      <c r="D61" s="82"/>
      <c r="E61" s="82">
        <v>0</v>
      </c>
      <c r="F61" s="83">
        <v>16.826</v>
      </c>
    </row>
    <row r="62" spans="1:6" s="33" customFormat="1" ht="21" customHeight="1">
      <c r="A62" s="15" t="s">
        <v>10</v>
      </c>
      <c r="B62" s="5">
        <f t="shared" si="1"/>
        <v>0</v>
      </c>
      <c r="C62" s="17">
        <f>C63+C64</f>
        <v>0</v>
      </c>
      <c r="D62" s="8"/>
      <c r="E62" s="17">
        <f>E63+E64</f>
        <v>0</v>
      </c>
      <c r="F62" s="18">
        <f>F63+F64</f>
        <v>0</v>
      </c>
    </row>
    <row r="63" spans="1:6" s="33" customFormat="1" ht="21" customHeight="1">
      <c r="A63" s="15" t="s">
        <v>11</v>
      </c>
      <c r="B63" s="5">
        <f t="shared" si="1"/>
        <v>0</v>
      </c>
      <c r="C63" s="70"/>
      <c r="D63" s="8"/>
      <c r="E63" s="8"/>
      <c r="F63" s="9"/>
    </row>
    <row r="64" spans="1:6" s="33" customFormat="1" ht="21" customHeight="1">
      <c r="A64" s="15" t="s">
        <v>12</v>
      </c>
      <c r="B64" s="5">
        <f t="shared" si="1"/>
        <v>0</v>
      </c>
      <c r="C64" s="70"/>
      <c r="D64" s="8"/>
      <c r="E64" s="8"/>
      <c r="F64" s="9"/>
    </row>
    <row r="65" spans="1:6" s="33" customFormat="1" ht="21" customHeight="1">
      <c r="A65" s="58" t="s">
        <v>41</v>
      </c>
      <c r="B65" s="5">
        <f t="shared" si="1"/>
        <v>25.378</v>
      </c>
      <c r="C65" s="8">
        <f>C66+C67</f>
        <v>0</v>
      </c>
      <c r="D65" s="8"/>
      <c r="E65" s="8">
        <f>E66+E67</f>
        <v>25.378</v>
      </c>
      <c r="F65" s="9">
        <f>F66+F67</f>
        <v>0</v>
      </c>
    </row>
    <row r="66" spans="1:6" ht="21" customHeight="1">
      <c r="A66" s="15" t="s">
        <v>13</v>
      </c>
      <c r="B66" s="5">
        <f t="shared" si="1"/>
        <v>25.378</v>
      </c>
      <c r="C66" s="82"/>
      <c r="D66" s="82"/>
      <c r="E66" s="82">
        <v>25.378</v>
      </c>
      <c r="F66" s="83"/>
    </row>
    <row r="67" spans="1:6" ht="21" customHeight="1">
      <c r="A67" s="15" t="s">
        <v>10</v>
      </c>
      <c r="B67" s="5">
        <f t="shared" si="1"/>
        <v>0</v>
      </c>
      <c r="C67" s="70"/>
      <c r="D67" s="8"/>
      <c r="E67" s="8">
        <f>E69+E68</f>
        <v>0</v>
      </c>
      <c r="F67" s="9">
        <f>F69+F68</f>
        <v>0</v>
      </c>
    </row>
    <row r="68" spans="1:6" ht="21" customHeight="1">
      <c r="A68" s="15" t="s">
        <v>11</v>
      </c>
      <c r="B68" s="5">
        <f t="shared" si="1"/>
        <v>0</v>
      </c>
      <c r="C68" s="70"/>
      <c r="D68" s="8"/>
      <c r="E68" s="10"/>
      <c r="F68" s="14"/>
    </row>
    <row r="69" spans="1:6" ht="21" customHeight="1">
      <c r="A69" s="15" t="s">
        <v>12</v>
      </c>
      <c r="B69" s="5">
        <f t="shared" si="1"/>
        <v>0</v>
      </c>
      <c r="C69" s="70"/>
      <c r="D69" s="8"/>
      <c r="E69" s="10"/>
      <c r="F69" s="14"/>
    </row>
    <row r="70" spans="1:6" ht="42" customHeight="1">
      <c r="A70" s="58" t="s">
        <v>23</v>
      </c>
      <c r="B70" s="5">
        <f t="shared" si="1"/>
        <v>108.042</v>
      </c>
      <c r="C70" s="70"/>
      <c r="D70" s="8"/>
      <c r="E70" s="8">
        <f>E71+E72</f>
        <v>0</v>
      </c>
      <c r="F70" s="9">
        <f>F71+F72</f>
        <v>108.042</v>
      </c>
    </row>
    <row r="71" spans="1:6" ht="21" customHeight="1">
      <c r="A71" s="15" t="s">
        <v>13</v>
      </c>
      <c r="B71" s="5">
        <f t="shared" si="1"/>
        <v>13.188</v>
      </c>
      <c r="C71" s="70"/>
      <c r="D71" s="8"/>
      <c r="E71" s="8"/>
      <c r="F71" s="84">
        <v>13.188</v>
      </c>
    </row>
    <row r="72" spans="1:6" ht="21" customHeight="1">
      <c r="A72" s="15" t="s">
        <v>10</v>
      </c>
      <c r="B72" s="5">
        <f t="shared" si="1"/>
        <v>94.854</v>
      </c>
      <c r="C72" s="70"/>
      <c r="D72" s="8"/>
      <c r="E72" s="8">
        <f>E74+E73</f>
        <v>0</v>
      </c>
      <c r="F72" s="9">
        <f>F74+F73</f>
        <v>94.854</v>
      </c>
    </row>
    <row r="73" spans="1:6" ht="21" customHeight="1">
      <c r="A73" s="15" t="s">
        <v>11</v>
      </c>
      <c r="B73" s="5">
        <f t="shared" si="1"/>
        <v>94.854</v>
      </c>
      <c r="C73" s="70"/>
      <c r="D73" s="8"/>
      <c r="E73" s="10"/>
      <c r="F73" s="14">
        <v>94.854</v>
      </c>
    </row>
    <row r="74" spans="1:6" ht="21" customHeight="1">
      <c r="A74" s="15" t="s">
        <v>12</v>
      </c>
      <c r="B74" s="5">
        <f t="shared" si="1"/>
        <v>0</v>
      </c>
      <c r="C74" s="70"/>
      <c r="D74" s="8"/>
      <c r="E74" s="10"/>
      <c r="F74" s="14"/>
    </row>
    <row r="75" spans="1:6" ht="47.25" customHeight="1">
      <c r="A75" s="58" t="s">
        <v>42</v>
      </c>
      <c r="B75" s="5">
        <f t="shared" si="1"/>
        <v>255.92</v>
      </c>
      <c r="C75" s="70"/>
      <c r="D75" s="8"/>
      <c r="E75" s="8">
        <f>E76+E77</f>
        <v>22.718</v>
      </c>
      <c r="F75" s="9">
        <f>F76+F77</f>
        <v>233.202</v>
      </c>
    </row>
    <row r="76" spans="1:6" ht="21" customHeight="1">
      <c r="A76" s="15" t="s">
        <v>13</v>
      </c>
      <c r="B76" s="5">
        <f t="shared" si="1"/>
        <v>77.443</v>
      </c>
      <c r="C76" s="70"/>
      <c r="D76" s="8"/>
      <c r="E76" s="90">
        <v>22.718</v>
      </c>
      <c r="F76" s="84">
        <v>54.725</v>
      </c>
    </row>
    <row r="77" spans="1:6" ht="21" customHeight="1">
      <c r="A77" s="15" t="s">
        <v>10</v>
      </c>
      <c r="B77" s="5">
        <f t="shared" si="1"/>
        <v>178.477</v>
      </c>
      <c r="C77" s="70"/>
      <c r="D77" s="8"/>
      <c r="E77" s="8">
        <f>E79+E78</f>
        <v>0</v>
      </c>
      <c r="F77" s="9">
        <f>F79+F78</f>
        <v>178.477</v>
      </c>
    </row>
    <row r="78" spans="1:6" ht="21" customHeight="1">
      <c r="A78" s="15" t="s">
        <v>11</v>
      </c>
      <c r="B78" s="5">
        <f t="shared" si="1"/>
        <v>0</v>
      </c>
      <c r="C78" s="70"/>
      <c r="D78" s="8"/>
      <c r="E78" s="8"/>
      <c r="F78" s="9"/>
    </row>
    <row r="79" spans="1:6" ht="21" customHeight="1">
      <c r="A79" s="15" t="s">
        <v>12</v>
      </c>
      <c r="B79" s="5">
        <f t="shared" si="1"/>
        <v>178.477</v>
      </c>
      <c r="C79" s="70"/>
      <c r="D79" s="8"/>
      <c r="E79" s="8"/>
      <c r="F79" s="9">
        <v>178.477</v>
      </c>
    </row>
    <row r="80" spans="1:6" ht="21" customHeight="1">
      <c r="A80" s="58" t="s">
        <v>21</v>
      </c>
      <c r="B80" s="5">
        <f t="shared" si="1"/>
        <v>484.568</v>
      </c>
      <c r="C80" s="8">
        <f>C81+C82</f>
        <v>0</v>
      </c>
      <c r="D80" s="8"/>
      <c r="E80" s="8">
        <f>E81+E82</f>
        <v>484.568</v>
      </c>
      <c r="F80" s="9">
        <f>F81+F82</f>
        <v>0</v>
      </c>
    </row>
    <row r="81" spans="1:6" ht="21" customHeight="1">
      <c r="A81" s="15" t="s">
        <v>13</v>
      </c>
      <c r="B81" s="5">
        <f t="shared" si="1"/>
        <v>484.568</v>
      </c>
      <c r="C81" s="82"/>
      <c r="D81" s="82"/>
      <c r="E81" s="82">
        <v>484.568</v>
      </c>
      <c r="F81" s="83"/>
    </row>
    <row r="82" spans="1:6" ht="21" customHeight="1">
      <c r="A82" s="15" t="s">
        <v>10</v>
      </c>
      <c r="B82" s="5">
        <f t="shared" si="1"/>
        <v>0</v>
      </c>
      <c r="C82" s="70"/>
      <c r="D82" s="8"/>
      <c r="E82" s="8">
        <f>E84+E83</f>
        <v>0</v>
      </c>
      <c r="F82" s="9">
        <f>F84+F83</f>
        <v>0</v>
      </c>
    </row>
    <row r="83" spans="1:6" ht="21" customHeight="1">
      <c r="A83" s="15" t="s">
        <v>11</v>
      </c>
      <c r="B83" s="5">
        <f t="shared" si="1"/>
        <v>0</v>
      </c>
      <c r="C83" s="70"/>
      <c r="D83" s="8"/>
      <c r="E83" s="10"/>
      <c r="F83" s="14"/>
    </row>
    <row r="84" spans="1:6" ht="21" customHeight="1">
      <c r="A84" s="15" t="s">
        <v>12</v>
      </c>
      <c r="B84" s="5">
        <f t="shared" si="1"/>
        <v>0</v>
      </c>
      <c r="C84" s="70"/>
      <c r="D84" s="8"/>
      <c r="E84" s="10"/>
      <c r="F84" s="14"/>
    </row>
    <row r="85" spans="1:6" ht="21" customHeight="1">
      <c r="A85" s="58" t="s">
        <v>22</v>
      </c>
      <c r="B85" s="5">
        <f t="shared" si="1"/>
        <v>531.085</v>
      </c>
      <c r="C85" s="70"/>
      <c r="D85" s="8"/>
      <c r="E85" s="8">
        <f>E86+E87</f>
        <v>531.085</v>
      </c>
      <c r="F85" s="9">
        <f>F86+F87</f>
        <v>0</v>
      </c>
    </row>
    <row r="86" spans="1:6" ht="21" customHeight="1">
      <c r="A86" s="15" t="s">
        <v>13</v>
      </c>
      <c r="B86" s="5">
        <f t="shared" si="1"/>
        <v>531.085</v>
      </c>
      <c r="C86" s="70"/>
      <c r="D86" s="8"/>
      <c r="E86" s="8">
        <v>531.085</v>
      </c>
      <c r="F86" s="84"/>
    </row>
    <row r="87" spans="1:6" ht="21" customHeight="1">
      <c r="A87" s="15" t="s">
        <v>10</v>
      </c>
      <c r="B87" s="5">
        <f t="shared" si="1"/>
        <v>0</v>
      </c>
      <c r="C87" s="70"/>
      <c r="D87" s="8"/>
      <c r="E87" s="8">
        <f>E89+E88</f>
        <v>0</v>
      </c>
      <c r="F87" s="9">
        <f>F89+F88</f>
        <v>0</v>
      </c>
    </row>
    <row r="88" spans="1:6" ht="21" customHeight="1">
      <c r="A88" s="15" t="s">
        <v>11</v>
      </c>
      <c r="B88" s="5">
        <f t="shared" si="1"/>
        <v>0</v>
      </c>
      <c r="C88" s="70"/>
      <c r="D88" s="8"/>
      <c r="E88" s="10"/>
      <c r="F88" s="14"/>
    </row>
    <row r="89" spans="1:6" ht="21" customHeight="1">
      <c r="A89" s="15" t="s">
        <v>12</v>
      </c>
      <c r="B89" s="5">
        <f t="shared" si="1"/>
        <v>0</v>
      </c>
      <c r="C89" s="70"/>
      <c r="D89" s="8"/>
      <c r="E89" s="10"/>
      <c r="F89" s="14"/>
    </row>
    <row r="90" spans="1:6" ht="21" customHeight="1">
      <c r="A90" s="58" t="s">
        <v>49</v>
      </c>
      <c r="B90" s="5">
        <f t="shared" si="1"/>
        <v>0</v>
      </c>
      <c r="C90" s="70"/>
      <c r="D90" s="8"/>
      <c r="E90" s="8">
        <f>E91+E92</f>
        <v>0</v>
      </c>
      <c r="F90" s="9">
        <f>F91+F92</f>
        <v>0</v>
      </c>
    </row>
    <row r="91" spans="1:6" ht="21" customHeight="1">
      <c r="A91" s="15" t="s">
        <v>13</v>
      </c>
      <c r="B91" s="5">
        <f t="shared" si="1"/>
        <v>0</v>
      </c>
      <c r="C91" s="70"/>
      <c r="D91" s="8"/>
      <c r="E91" s="8"/>
      <c r="F91" s="84"/>
    </row>
    <row r="92" spans="1:6" ht="21" customHeight="1">
      <c r="A92" s="15" t="s">
        <v>10</v>
      </c>
      <c r="B92" s="5">
        <f t="shared" si="1"/>
        <v>0</v>
      </c>
      <c r="C92" s="70"/>
      <c r="D92" s="8"/>
      <c r="E92" s="8">
        <f>E94+E93</f>
        <v>0</v>
      </c>
      <c r="F92" s="9">
        <f>F94+F93</f>
        <v>0</v>
      </c>
    </row>
    <row r="93" spans="1:6" ht="21" customHeight="1">
      <c r="A93" s="15" t="s">
        <v>11</v>
      </c>
      <c r="B93" s="5">
        <f t="shared" si="1"/>
        <v>0</v>
      </c>
      <c r="C93" s="70"/>
      <c r="D93" s="8"/>
      <c r="E93" s="8"/>
      <c r="F93" s="9"/>
    </row>
    <row r="94" spans="1:6" ht="21" customHeight="1">
      <c r="A94" s="15" t="s">
        <v>12</v>
      </c>
      <c r="B94" s="5">
        <f t="shared" si="1"/>
        <v>0</v>
      </c>
      <c r="C94" s="70"/>
      <c r="D94" s="8"/>
      <c r="E94" s="8"/>
      <c r="F94" s="9"/>
    </row>
    <row r="95" spans="1:6" ht="21" customHeight="1">
      <c r="A95" s="58" t="s">
        <v>70</v>
      </c>
      <c r="B95" s="5">
        <f t="shared" si="1"/>
        <v>157.745</v>
      </c>
      <c r="C95" s="17"/>
      <c r="D95" s="8"/>
      <c r="E95" s="17">
        <f>E96+E97</f>
        <v>157.745</v>
      </c>
      <c r="F95" s="18">
        <f>F96+F97</f>
        <v>0</v>
      </c>
    </row>
    <row r="96" spans="1:6" ht="21" customHeight="1">
      <c r="A96" s="15" t="s">
        <v>13</v>
      </c>
      <c r="B96" s="5">
        <f t="shared" si="1"/>
        <v>116.088</v>
      </c>
      <c r="C96" s="8"/>
      <c r="D96" s="8"/>
      <c r="E96" s="17">
        <v>116.088</v>
      </c>
      <c r="F96" s="18"/>
    </row>
    <row r="97" spans="1:6" ht="21" customHeight="1">
      <c r="A97" s="15" t="s">
        <v>10</v>
      </c>
      <c r="B97" s="5">
        <f t="shared" si="1"/>
        <v>41.657</v>
      </c>
      <c r="C97" s="8"/>
      <c r="D97" s="8"/>
      <c r="E97" s="17">
        <f>E98+E99</f>
        <v>41.657</v>
      </c>
      <c r="F97" s="18">
        <f>F98+F99</f>
        <v>0</v>
      </c>
    </row>
    <row r="98" spans="1:6" ht="21" customHeight="1">
      <c r="A98" s="15" t="s">
        <v>11</v>
      </c>
      <c r="B98" s="5">
        <f t="shared" si="1"/>
        <v>41.657</v>
      </c>
      <c r="C98" s="8"/>
      <c r="D98" s="8"/>
      <c r="E98" s="70">
        <v>41.657</v>
      </c>
      <c r="F98" s="71"/>
    </row>
    <row r="99" spans="1:6" ht="21" customHeight="1">
      <c r="A99" s="15" t="s">
        <v>12</v>
      </c>
      <c r="B99" s="5">
        <f t="shared" si="1"/>
        <v>0</v>
      </c>
      <c r="C99" s="8"/>
      <c r="D99" s="8"/>
      <c r="E99" s="70"/>
      <c r="F99" s="71"/>
    </row>
    <row r="100" spans="1:6" ht="21" customHeight="1">
      <c r="A100" s="58" t="s">
        <v>8</v>
      </c>
      <c r="B100" s="5">
        <f t="shared" si="1"/>
        <v>1835.7669999999998</v>
      </c>
      <c r="C100" s="17"/>
      <c r="D100" s="8"/>
      <c r="E100" s="17">
        <f>E101+E102</f>
        <v>941.955</v>
      </c>
      <c r="F100" s="18">
        <f>F101+F102</f>
        <v>893.8119999999999</v>
      </c>
    </row>
    <row r="101" spans="1:6" ht="21" customHeight="1">
      <c r="A101" s="15" t="s">
        <v>13</v>
      </c>
      <c r="B101" s="5">
        <f t="shared" si="1"/>
        <v>989.734</v>
      </c>
      <c r="C101" s="8"/>
      <c r="D101" s="8"/>
      <c r="E101" s="8">
        <v>752.589</v>
      </c>
      <c r="F101" s="9">
        <v>237.145</v>
      </c>
    </row>
    <row r="102" spans="1:6" ht="21" customHeight="1">
      <c r="A102" s="15" t="s">
        <v>10</v>
      </c>
      <c r="B102" s="5">
        <f t="shared" si="1"/>
        <v>846.0329999999999</v>
      </c>
      <c r="C102" s="8"/>
      <c r="D102" s="8"/>
      <c r="E102" s="17">
        <f>E103+E104</f>
        <v>189.366</v>
      </c>
      <c r="F102" s="18">
        <f>F103+F104</f>
        <v>656.6669999999999</v>
      </c>
    </row>
    <row r="103" spans="1:6" ht="21" customHeight="1">
      <c r="A103" s="15" t="s">
        <v>11</v>
      </c>
      <c r="B103" s="5">
        <f t="shared" si="1"/>
        <v>661.151</v>
      </c>
      <c r="C103" s="8"/>
      <c r="D103" s="8"/>
      <c r="E103" s="11">
        <v>177.02</v>
      </c>
      <c r="F103" s="12">
        <v>484.131</v>
      </c>
    </row>
    <row r="104" spans="1:6" ht="21" customHeight="1">
      <c r="A104" s="15" t="s">
        <v>12</v>
      </c>
      <c r="B104" s="5">
        <f t="shared" si="1"/>
        <v>184.882</v>
      </c>
      <c r="C104" s="8"/>
      <c r="D104" s="8"/>
      <c r="E104" s="70">
        <f>3.066+9.28</f>
        <v>12.346</v>
      </c>
      <c r="F104" s="71">
        <f>114.676+57.86</f>
        <v>172.536</v>
      </c>
    </row>
    <row r="105" spans="1:6" ht="21" customHeight="1">
      <c r="A105" s="58" t="s">
        <v>5</v>
      </c>
      <c r="B105" s="5">
        <f t="shared" si="1"/>
        <v>3464.941</v>
      </c>
      <c r="C105" s="17">
        <f>C106+C107</f>
        <v>332.702</v>
      </c>
      <c r="D105" s="8"/>
      <c r="E105" s="17">
        <f>E106+E107</f>
        <v>2154.676</v>
      </c>
      <c r="F105" s="18">
        <f>F106+F107</f>
        <v>977.563</v>
      </c>
    </row>
    <row r="106" spans="1:6" ht="21" customHeight="1">
      <c r="A106" s="15" t="s">
        <v>13</v>
      </c>
      <c r="B106" s="5">
        <f t="shared" si="1"/>
        <v>2246.895</v>
      </c>
      <c r="C106" s="17">
        <v>332.702</v>
      </c>
      <c r="D106" s="17"/>
      <c r="E106" s="8">
        <v>1558.942</v>
      </c>
      <c r="F106" s="9">
        <v>355.251</v>
      </c>
    </row>
    <row r="107" spans="1:6" ht="21" customHeight="1">
      <c r="A107" s="15" t="s">
        <v>10</v>
      </c>
      <c r="B107" s="5">
        <f t="shared" si="1"/>
        <v>1218.046</v>
      </c>
      <c r="C107" s="8"/>
      <c r="D107" s="8"/>
      <c r="E107" s="17">
        <f>E108+E109</f>
        <v>595.734</v>
      </c>
      <c r="F107" s="18">
        <f>F108+F109</f>
        <v>622.312</v>
      </c>
    </row>
    <row r="108" spans="1:6" ht="21" customHeight="1">
      <c r="A108" s="15" t="s">
        <v>11</v>
      </c>
      <c r="B108" s="5">
        <f t="shared" si="1"/>
        <v>999.212</v>
      </c>
      <c r="C108" s="72"/>
      <c r="D108" s="72"/>
      <c r="E108" s="11">
        <v>467.981</v>
      </c>
      <c r="F108" s="12">
        <v>531.231</v>
      </c>
    </row>
    <row r="109" spans="1:6" ht="21" customHeight="1">
      <c r="A109" s="15" t="s">
        <v>12</v>
      </c>
      <c r="B109" s="5">
        <f t="shared" si="1"/>
        <v>218.834</v>
      </c>
      <c r="C109" s="70"/>
      <c r="D109" s="70"/>
      <c r="E109" s="70">
        <f>11.547+116.206</f>
        <v>127.753</v>
      </c>
      <c r="F109" s="71">
        <v>91.081</v>
      </c>
    </row>
    <row r="110" spans="1:6" ht="21" customHeight="1">
      <c r="A110" s="58" t="s">
        <v>43</v>
      </c>
      <c r="B110" s="5">
        <f t="shared" si="1"/>
        <v>6321.121</v>
      </c>
      <c r="C110" s="189"/>
      <c r="D110" s="189"/>
      <c r="E110" s="17">
        <f>E111+E112</f>
        <v>1386.3120000000001</v>
      </c>
      <c r="F110" s="18">
        <f>F111+F112</f>
        <v>4934.809</v>
      </c>
    </row>
    <row r="111" spans="1:6" ht="21" customHeight="1">
      <c r="A111" s="15" t="s">
        <v>13</v>
      </c>
      <c r="B111" s="5">
        <f t="shared" si="1"/>
        <v>2886.141</v>
      </c>
      <c r="C111" s="70"/>
      <c r="D111" s="70"/>
      <c r="E111" s="17">
        <v>1335.939</v>
      </c>
      <c r="F111" s="18">
        <v>1550.202</v>
      </c>
    </row>
    <row r="112" spans="1:6" ht="21" customHeight="1">
      <c r="A112" s="15" t="s">
        <v>10</v>
      </c>
      <c r="B112" s="5">
        <f t="shared" si="1"/>
        <v>3434.98</v>
      </c>
      <c r="C112" s="17"/>
      <c r="D112" s="8"/>
      <c r="E112" s="17">
        <f>E113+E114</f>
        <v>50.373</v>
      </c>
      <c r="F112" s="18">
        <f>F113+F114</f>
        <v>3384.607</v>
      </c>
    </row>
    <row r="113" spans="1:6" ht="21" customHeight="1">
      <c r="A113" s="15" t="s">
        <v>11</v>
      </c>
      <c r="B113" s="5">
        <f t="shared" si="1"/>
        <v>343.841</v>
      </c>
      <c r="C113" s="8"/>
      <c r="D113" s="8"/>
      <c r="E113" s="11">
        <v>19.598</v>
      </c>
      <c r="F113" s="12">
        <v>324.243</v>
      </c>
    </row>
    <row r="114" spans="1:6" ht="21" customHeight="1" thickBot="1">
      <c r="A114" s="16" t="s">
        <v>12</v>
      </c>
      <c r="B114" s="29">
        <f>C114+D114+E114+F114</f>
        <v>3091.139</v>
      </c>
      <c r="C114" s="19"/>
      <c r="D114" s="19"/>
      <c r="E114" s="91">
        <v>30.775</v>
      </c>
      <c r="F114" s="93">
        <v>3060.364</v>
      </c>
    </row>
    <row r="115" spans="1:6" ht="18.75" thickBot="1">
      <c r="A115" s="174"/>
      <c r="B115" s="165"/>
      <c r="C115" s="165"/>
      <c r="D115" s="165"/>
      <c r="E115" s="165"/>
      <c r="F115" s="165"/>
    </row>
    <row r="116" spans="1:6" ht="24" thickBot="1">
      <c r="A116" s="163" t="s">
        <v>72</v>
      </c>
      <c r="B116" s="40">
        <f>C116+D116+E116+F116</f>
        <v>123517.796</v>
      </c>
      <c r="C116" s="41">
        <f>C5+C10+C15+C20+C25+C30+C35+C40+C45+C50+C55+C60+C65+C70+C75+C80+C85+C90+C95+C100+C105+C110</f>
        <v>48540.674000000006</v>
      </c>
      <c r="D116" s="41">
        <f>D5+D10+D15+D20+D25+D30+D35+D40+D45+D50+D55+D60+D65+D70+D75+D80+D85+D90+D95+D100+D105+D110</f>
        <v>1734.051</v>
      </c>
      <c r="E116" s="41">
        <f>E5+E10+E15+E20+E25+E30+E35+E40+E45+E50+E55+E60+E65+E70+E75+E80+E85+E90+E95+E100+E105+E110</f>
        <v>32789.530000000006</v>
      </c>
      <c r="F116" s="41">
        <f>F5+F10+F15+F20+F25+F30+F35+F40+F45+F50+F55+F60+F65+F70+F75+F80+F85+F90+F95+F100+F105+F110</f>
        <v>40453.541000000005</v>
      </c>
    </row>
    <row r="117" ht="12.75">
      <c r="A117" s="174"/>
    </row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3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tabSelected="1" zoomScale="60" zoomScaleNormal="60" zoomScalePageLayoutView="0" workbookViewId="0" topLeftCell="A1">
      <pane xSplit="1" ySplit="4" topLeftCell="B7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37" sqref="K37"/>
    </sheetView>
  </sheetViews>
  <sheetFormatPr defaultColWidth="9.00390625" defaultRowHeight="12.75"/>
  <cols>
    <col min="1" max="1" width="68.875" style="0" customWidth="1"/>
    <col min="2" max="2" width="24.00390625" style="0" customWidth="1"/>
    <col min="3" max="6" width="24.00390625" style="3" customWidth="1"/>
    <col min="7" max="7" width="9.125" style="3" customWidth="1"/>
  </cols>
  <sheetData>
    <row r="1" spans="1:6" s="33" customFormat="1" ht="23.25">
      <c r="A1" s="185" t="s">
        <v>29</v>
      </c>
      <c r="B1" s="185"/>
      <c r="C1" s="185"/>
      <c r="D1" s="185"/>
      <c r="E1" s="185"/>
      <c r="F1" s="185"/>
    </row>
    <row r="2" spans="1:6" s="37" customFormat="1" ht="23.25">
      <c r="A2" s="186" t="s">
        <v>60</v>
      </c>
      <c r="B2" s="186"/>
      <c r="C2" s="186"/>
      <c r="D2" s="187"/>
      <c r="E2" s="187"/>
      <c r="F2" s="187"/>
    </row>
    <row r="3" spans="1:6" ht="18.75" thickBot="1">
      <c r="A3" s="3"/>
      <c r="B3" s="3"/>
      <c r="F3" s="56" t="s">
        <v>28</v>
      </c>
    </row>
    <row r="4" spans="1:6" s="1" customFormat="1" ht="29.25" customHeight="1" thickBot="1">
      <c r="A4" s="38" t="s">
        <v>31</v>
      </c>
      <c r="B4" s="53"/>
      <c r="C4" s="42" t="s">
        <v>0</v>
      </c>
      <c r="D4" s="42" t="s">
        <v>1</v>
      </c>
      <c r="E4" s="42" t="s">
        <v>2</v>
      </c>
      <c r="F4" s="43" t="s">
        <v>3</v>
      </c>
    </row>
    <row r="5" spans="1:6" s="2" customFormat="1" ht="42.75" customHeight="1">
      <c r="A5" s="78" t="s">
        <v>35</v>
      </c>
      <c r="B5" s="28">
        <f aca="true" t="shared" si="0" ref="B5:B54">C5+D5+E5+F5</f>
        <v>93907.71800000001</v>
      </c>
      <c r="C5" s="74">
        <f>C6+C7</f>
        <v>38265.442</v>
      </c>
      <c r="D5" s="74">
        <f>D6+D7</f>
        <v>858.582</v>
      </c>
      <c r="E5" s="74">
        <f>E6+E7</f>
        <v>25057.149</v>
      </c>
      <c r="F5" s="75">
        <f>F6+F7</f>
        <v>29726.545</v>
      </c>
    </row>
    <row r="6" spans="1:6" s="2" customFormat="1" ht="22.5" customHeight="1">
      <c r="A6" s="79" t="s">
        <v>13</v>
      </c>
      <c r="B6" s="8">
        <f t="shared" si="0"/>
        <v>74874.603</v>
      </c>
      <c r="C6" s="17">
        <f>38265.442-C7</f>
        <v>38265.442</v>
      </c>
      <c r="D6" s="17">
        <f>858.582-D7</f>
        <v>857.102</v>
      </c>
      <c r="E6" s="17">
        <f>25057.149-E7</f>
        <v>24774.598</v>
      </c>
      <c r="F6" s="18">
        <f>29726.545-F7</f>
        <v>10977.461</v>
      </c>
    </row>
    <row r="7" spans="1:6" s="2" customFormat="1" ht="22.5" customHeight="1">
      <c r="A7" s="79" t="s">
        <v>10</v>
      </c>
      <c r="B7" s="8">
        <f t="shared" si="0"/>
        <v>19033.114999999998</v>
      </c>
      <c r="C7" s="17">
        <f>C8+C9</f>
        <v>0</v>
      </c>
      <c r="D7" s="17">
        <f>D8+D9</f>
        <v>1.48</v>
      </c>
      <c r="E7" s="17">
        <f>E8+E9</f>
        <v>282.5510000000001</v>
      </c>
      <c r="F7" s="18">
        <f>F8+F9</f>
        <v>18749.084</v>
      </c>
    </row>
    <row r="8" spans="1:6" s="2" customFormat="1" ht="22.5" customHeight="1">
      <c r="A8" s="79" t="s">
        <v>11</v>
      </c>
      <c r="B8" s="8">
        <f t="shared" si="0"/>
        <v>5811.237</v>
      </c>
      <c r="C8" s="70"/>
      <c r="D8" s="70"/>
      <c r="E8" s="70">
        <v>10.86700000000015</v>
      </c>
      <c r="F8" s="71">
        <v>5800.37</v>
      </c>
    </row>
    <row r="9" spans="1:6" s="2" customFormat="1" ht="22.5" customHeight="1">
      <c r="A9" s="79" t="s">
        <v>12</v>
      </c>
      <c r="B9" s="8">
        <f t="shared" si="0"/>
        <v>13221.878</v>
      </c>
      <c r="C9" s="70">
        <f>104.17-C14</f>
        <v>0</v>
      </c>
      <c r="D9" s="70">
        <v>1.48</v>
      </c>
      <c r="E9" s="70">
        <f>18.525+253.159</f>
        <v>271.68399999999997</v>
      </c>
      <c r="F9" s="71">
        <f>177.904+12770.81</f>
        <v>12948.714</v>
      </c>
    </row>
    <row r="10" spans="1:6" s="2" customFormat="1" ht="22.5" customHeight="1">
      <c r="A10" s="80" t="s">
        <v>36</v>
      </c>
      <c r="B10" s="8">
        <f t="shared" si="0"/>
        <v>7066.934</v>
      </c>
      <c r="C10" s="17">
        <f>C11+C12</f>
        <v>1165.5600000000002</v>
      </c>
      <c r="D10" s="17"/>
      <c r="E10" s="17">
        <f>E11+E12</f>
        <v>2565.292</v>
      </c>
      <c r="F10" s="18">
        <f>F11+F12</f>
        <v>3336.0820000000003</v>
      </c>
    </row>
    <row r="11" spans="1:6" s="2" customFormat="1" ht="22.5" customHeight="1">
      <c r="A11" s="79" t="s">
        <v>13</v>
      </c>
      <c r="B11" s="8">
        <f t="shared" si="0"/>
        <v>4609.960999999999</v>
      </c>
      <c r="C11" s="8">
        <v>1061.39</v>
      </c>
      <c r="D11" s="8"/>
      <c r="E11" s="8">
        <v>2174.332</v>
      </c>
      <c r="F11" s="9">
        <v>1374.239</v>
      </c>
    </row>
    <row r="12" spans="1:6" s="2" customFormat="1" ht="22.5" customHeight="1">
      <c r="A12" s="79" t="s">
        <v>10</v>
      </c>
      <c r="B12" s="8">
        <f t="shared" si="0"/>
        <v>2456.973</v>
      </c>
      <c r="C12" s="17">
        <f>C13+C14</f>
        <v>104.16999999999999</v>
      </c>
      <c r="D12" s="8"/>
      <c r="E12" s="17">
        <f>E13+E14</f>
        <v>390.96</v>
      </c>
      <c r="F12" s="18">
        <f>F13+F14</f>
        <v>1961.843</v>
      </c>
    </row>
    <row r="13" spans="1:6" s="2" customFormat="1" ht="22.5" customHeight="1">
      <c r="A13" s="79" t="s">
        <v>11</v>
      </c>
      <c r="B13" s="8">
        <f t="shared" si="0"/>
        <v>1420.441</v>
      </c>
      <c r="C13" s="11"/>
      <c r="D13" s="11"/>
      <c r="E13" s="11">
        <v>87.81</v>
      </c>
      <c r="F13" s="12">
        <v>1332.631</v>
      </c>
    </row>
    <row r="14" spans="1:6" s="2" customFormat="1" ht="22.5" customHeight="1">
      <c r="A14" s="79" t="s">
        <v>12</v>
      </c>
      <c r="B14" s="8">
        <f t="shared" si="0"/>
        <v>1036.532</v>
      </c>
      <c r="C14" s="11">
        <f>131.17-27</f>
        <v>104.16999999999999</v>
      </c>
      <c r="D14" s="11"/>
      <c r="E14" s="11">
        <v>303.15</v>
      </c>
      <c r="F14" s="12">
        <v>629.212</v>
      </c>
    </row>
    <row r="15" spans="1:6" s="2" customFormat="1" ht="22.5" customHeight="1">
      <c r="A15" s="80" t="s">
        <v>6</v>
      </c>
      <c r="B15" s="8">
        <f t="shared" si="0"/>
        <v>1437.766</v>
      </c>
      <c r="C15" s="17">
        <f>C16+C17</f>
        <v>1437.766</v>
      </c>
      <c r="D15" s="8"/>
      <c r="E15" s="8"/>
      <c r="F15" s="18">
        <f>F16+F17</f>
        <v>0</v>
      </c>
    </row>
    <row r="16" spans="1:6" s="2" customFormat="1" ht="22.5" customHeight="1">
      <c r="A16" s="79" t="s">
        <v>13</v>
      </c>
      <c r="B16" s="8">
        <f t="shared" si="0"/>
        <v>1437.766</v>
      </c>
      <c r="C16" s="8">
        <v>1437.766</v>
      </c>
      <c r="D16" s="8"/>
      <c r="E16" s="17"/>
      <c r="F16" s="18"/>
    </row>
    <row r="17" spans="1:6" s="2" customFormat="1" ht="22.5" customHeight="1">
      <c r="A17" s="79" t="s">
        <v>10</v>
      </c>
      <c r="B17" s="8">
        <f t="shared" si="0"/>
        <v>0</v>
      </c>
      <c r="C17" s="17">
        <f>C18+C19</f>
        <v>0</v>
      </c>
      <c r="D17" s="8"/>
      <c r="E17" s="17">
        <f>E18+E19</f>
        <v>0</v>
      </c>
      <c r="F17" s="18">
        <f>F18+F19</f>
        <v>0</v>
      </c>
    </row>
    <row r="18" spans="1:6" s="2" customFormat="1" ht="22.5" customHeight="1">
      <c r="A18" s="79" t="s">
        <v>11</v>
      </c>
      <c r="B18" s="8">
        <f t="shared" si="0"/>
        <v>0</v>
      </c>
      <c r="C18" s="72">
        <v>0</v>
      </c>
      <c r="D18" s="72"/>
      <c r="E18" s="72"/>
      <c r="F18" s="73"/>
    </row>
    <row r="19" spans="1:6" s="2" customFormat="1" ht="22.5" customHeight="1">
      <c r="A19" s="79" t="s">
        <v>12</v>
      </c>
      <c r="B19" s="8">
        <f t="shared" si="0"/>
        <v>0</v>
      </c>
      <c r="C19" s="72"/>
      <c r="D19" s="72"/>
      <c r="E19" s="72"/>
      <c r="F19" s="73"/>
    </row>
    <row r="20" spans="1:6" s="2" customFormat="1" ht="46.5" customHeight="1">
      <c r="A20" s="80" t="s">
        <v>37</v>
      </c>
      <c r="B20" s="8">
        <f t="shared" si="0"/>
        <v>941.1479999999999</v>
      </c>
      <c r="C20" s="17">
        <f>C21+C22</f>
        <v>23.595</v>
      </c>
      <c r="D20" s="17">
        <f>D21+D22</f>
        <v>808.877</v>
      </c>
      <c r="E20" s="17">
        <f>E21+E22</f>
        <v>26.708</v>
      </c>
      <c r="F20" s="18">
        <f>F21+F22</f>
        <v>81.96799999999999</v>
      </c>
    </row>
    <row r="21" spans="1:6" s="2" customFormat="1" ht="22.5" customHeight="1">
      <c r="A21" s="79" t="s">
        <v>13</v>
      </c>
      <c r="B21" s="8">
        <f t="shared" si="0"/>
        <v>921.7479999999999</v>
      </c>
      <c r="C21" s="8">
        <v>23.595</v>
      </c>
      <c r="D21" s="8">
        <v>808.877</v>
      </c>
      <c r="E21" s="8">
        <v>26.708</v>
      </c>
      <c r="F21" s="9">
        <v>62.568</v>
      </c>
    </row>
    <row r="22" spans="1:6" s="2" customFormat="1" ht="22.5" customHeight="1">
      <c r="A22" s="79" t="s">
        <v>10</v>
      </c>
      <c r="B22" s="8">
        <f t="shared" si="0"/>
        <v>19.4</v>
      </c>
      <c r="C22" s="17">
        <f>C23+C24</f>
        <v>0</v>
      </c>
      <c r="D22" s="8"/>
      <c r="E22" s="17">
        <f>E23+E24</f>
        <v>0</v>
      </c>
      <c r="F22" s="18">
        <f>F23+F24</f>
        <v>19.4</v>
      </c>
    </row>
    <row r="23" spans="1:6" s="2" customFormat="1" ht="22.5" customHeight="1">
      <c r="A23" s="79" t="s">
        <v>11</v>
      </c>
      <c r="B23" s="8">
        <f t="shared" si="0"/>
        <v>19.4</v>
      </c>
      <c r="C23" s="72"/>
      <c r="D23" s="72"/>
      <c r="E23" s="11"/>
      <c r="F23" s="12">
        <v>19.4</v>
      </c>
    </row>
    <row r="24" spans="1:6" s="2" customFormat="1" ht="22.5" customHeight="1">
      <c r="A24" s="79" t="s">
        <v>12</v>
      </c>
      <c r="B24" s="8">
        <f t="shared" si="0"/>
        <v>0</v>
      </c>
      <c r="C24" s="11"/>
      <c r="D24" s="11"/>
      <c r="E24" s="11"/>
      <c r="F24" s="12"/>
    </row>
    <row r="25" spans="1:6" s="2" customFormat="1" ht="39.75" customHeight="1">
      <c r="A25" s="80" t="s">
        <v>7</v>
      </c>
      <c r="B25" s="8">
        <f t="shared" si="0"/>
        <v>13999.716</v>
      </c>
      <c r="C25" s="17">
        <f>C26+C27</f>
        <v>7382.44</v>
      </c>
      <c r="D25" s="17"/>
      <c r="E25" s="17">
        <f>E26+E27</f>
        <v>2362.0600000000004</v>
      </c>
      <c r="F25" s="18">
        <f>F26+F27</f>
        <v>4255.216</v>
      </c>
    </row>
    <row r="26" spans="1:6" s="2" customFormat="1" ht="22.5" customHeight="1">
      <c r="A26" s="79" t="s">
        <v>13</v>
      </c>
      <c r="B26" s="8">
        <f t="shared" si="0"/>
        <v>11207.720000000001</v>
      </c>
      <c r="C26" s="8">
        <v>7382.44</v>
      </c>
      <c r="D26" s="8"/>
      <c r="E26" s="8">
        <v>2291.26</v>
      </c>
      <c r="F26" s="9">
        <v>1534.02</v>
      </c>
    </row>
    <row r="27" spans="1:6" s="2" customFormat="1" ht="22.5" customHeight="1">
      <c r="A27" s="79" t="s">
        <v>10</v>
      </c>
      <c r="B27" s="8">
        <f t="shared" si="0"/>
        <v>2791.996</v>
      </c>
      <c r="C27" s="8"/>
      <c r="D27" s="8"/>
      <c r="E27" s="17">
        <f>E28+E29+E30</f>
        <v>70.8</v>
      </c>
      <c r="F27" s="18">
        <f>F28+F29+F30</f>
        <v>2721.196</v>
      </c>
    </row>
    <row r="28" spans="1:6" s="2" customFormat="1" ht="22.5" customHeight="1">
      <c r="A28" s="79" t="s">
        <v>11</v>
      </c>
      <c r="B28" s="8">
        <f t="shared" si="0"/>
        <v>2691.417</v>
      </c>
      <c r="C28" s="70"/>
      <c r="D28" s="70"/>
      <c r="E28" s="11">
        <v>70.8</v>
      </c>
      <c r="F28" s="12">
        <f>2475.189+145.428</f>
        <v>2620.6169999999997</v>
      </c>
    </row>
    <row r="29" spans="1:6" s="2" customFormat="1" ht="22.5" customHeight="1">
      <c r="A29" s="79" t="s">
        <v>71</v>
      </c>
      <c r="B29" s="8">
        <f t="shared" si="0"/>
        <v>70</v>
      </c>
      <c r="C29" s="72"/>
      <c r="D29" s="72"/>
      <c r="E29" s="11"/>
      <c r="F29" s="12">
        <v>70</v>
      </c>
    </row>
    <row r="30" spans="1:6" s="2" customFormat="1" ht="22.5" customHeight="1">
      <c r="A30" s="79" t="s">
        <v>12</v>
      </c>
      <c r="B30" s="8">
        <f t="shared" si="0"/>
        <v>30.579</v>
      </c>
      <c r="C30" s="72"/>
      <c r="D30" s="72"/>
      <c r="E30" s="11"/>
      <c r="F30" s="12">
        <v>30.579</v>
      </c>
    </row>
    <row r="31" spans="1:6" s="2" customFormat="1" ht="22.5" customHeight="1">
      <c r="A31" s="80" t="s">
        <v>38</v>
      </c>
      <c r="B31" s="8">
        <f t="shared" si="0"/>
        <v>137.123</v>
      </c>
      <c r="C31" s="72"/>
      <c r="D31" s="72"/>
      <c r="E31" s="17">
        <f>E32+E33</f>
        <v>85.37</v>
      </c>
      <c r="F31" s="18">
        <f>F32+F33</f>
        <v>51.753</v>
      </c>
    </row>
    <row r="32" spans="1:6" s="2" customFormat="1" ht="22.5" customHeight="1">
      <c r="A32" s="79" t="s">
        <v>13</v>
      </c>
      <c r="B32" s="8">
        <f t="shared" si="0"/>
        <v>108.29</v>
      </c>
      <c r="C32" s="8"/>
      <c r="D32" s="8"/>
      <c r="E32" s="88">
        <v>85.37</v>
      </c>
      <c r="F32" s="89">
        <v>22.92</v>
      </c>
    </row>
    <row r="33" spans="1:6" s="2" customFormat="1" ht="22.5" customHeight="1">
      <c r="A33" s="79" t="s">
        <v>10</v>
      </c>
      <c r="B33" s="8">
        <f t="shared" si="0"/>
        <v>28.833</v>
      </c>
      <c r="C33" s="8"/>
      <c r="D33" s="8"/>
      <c r="E33" s="17">
        <f>E34+E35</f>
        <v>0</v>
      </c>
      <c r="F33" s="18">
        <f>F34+F35</f>
        <v>28.833</v>
      </c>
    </row>
    <row r="34" spans="1:6" s="2" customFormat="1" ht="22.5" customHeight="1">
      <c r="A34" s="79" t="s">
        <v>11</v>
      </c>
      <c r="B34" s="8">
        <f t="shared" si="0"/>
        <v>23.669</v>
      </c>
      <c r="C34" s="72"/>
      <c r="D34" s="72"/>
      <c r="E34" s="94"/>
      <c r="F34" s="92">
        <v>23.669</v>
      </c>
    </row>
    <row r="35" spans="1:6" s="2" customFormat="1" ht="22.5" customHeight="1">
      <c r="A35" s="79" t="s">
        <v>12</v>
      </c>
      <c r="B35" s="8">
        <f t="shared" si="0"/>
        <v>5.164</v>
      </c>
      <c r="C35" s="72"/>
      <c r="D35" s="72"/>
      <c r="E35" s="94"/>
      <c r="F35" s="92">
        <v>5.164</v>
      </c>
    </row>
    <row r="36" spans="1:6" s="2" customFormat="1" ht="22.5" customHeight="1">
      <c r="A36" s="80" t="s">
        <v>39</v>
      </c>
      <c r="B36" s="8">
        <f t="shared" si="0"/>
        <v>233.704</v>
      </c>
      <c r="C36" s="17">
        <f>C37+C38</f>
        <v>0</v>
      </c>
      <c r="D36" s="72"/>
      <c r="E36" s="17">
        <f>E37+E38</f>
        <v>0</v>
      </c>
      <c r="F36" s="18">
        <f>F37+F38</f>
        <v>233.704</v>
      </c>
    </row>
    <row r="37" spans="1:6" s="2" customFormat="1" ht="22.5" customHeight="1">
      <c r="A37" s="79" t="s">
        <v>13</v>
      </c>
      <c r="B37" s="8">
        <f t="shared" si="0"/>
        <v>220.217</v>
      </c>
      <c r="C37" s="8"/>
      <c r="D37" s="8"/>
      <c r="E37" s="8"/>
      <c r="F37" s="9">
        <v>220.217</v>
      </c>
    </row>
    <row r="38" spans="1:6" s="2" customFormat="1" ht="22.5" customHeight="1">
      <c r="A38" s="79" t="s">
        <v>10</v>
      </c>
      <c r="B38" s="8">
        <f t="shared" si="0"/>
        <v>13.487</v>
      </c>
      <c r="C38" s="17">
        <f>C39+C40</f>
        <v>0</v>
      </c>
      <c r="D38" s="8"/>
      <c r="E38" s="17">
        <f>E39+E40</f>
        <v>0</v>
      </c>
      <c r="F38" s="18">
        <f>F39+F40</f>
        <v>13.487</v>
      </c>
    </row>
    <row r="39" spans="1:6" s="2" customFormat="1" ht="22.5" customHeight="1">
      <c r="A39" s="79" t="s">
        <v>11</v>
      </c>
      <c r="B39" s="8">
        <f t="shared" si="0"/>
        <v>0</v>
      </c>
      <c r="C39" s="72"/>
      <c r="D39" s="72"/>
      <c r="E39" s="72"/>
      <c r="F39" s="12"/>
    </row>
    <row r="40" spans="1:6" s="2" customFormat="1" ht="22.5" customHeight="1">
      <c r="A40" s="79" t="s">
        <v>12</v>
      </c>
      <c r="B40" s="8">
        <f t="shared" si="0"/>
        <v>13.487</v>
      </c>
      <c r="C40" s="72"/>
      <c r="D40" s="72"/>
      <c r="E40" s="72"/>
      <c r="F40" s="12">
        <v>13.487</v>
      </c>
    </row>
    <row r="41" spans="1:6" s="2" customFormat="1" ht="22.5" customHeight="1">
      <c r="A41" s="80" t="s">
        <v>24</v>
      </c>
      <c r="B41" s="8">
        <f t="shared" si="0"/>
        <v>147.87900000000002</v>
      </c>
      <c r="C41" s="72">
        <f>C42+C43</f>
        <v>49.578</v>
      </c>
      <c r="D41" s="72"/>
      <c r="E41" s="72">
        <f>E42+E43</f>
        <v>98.301</v>
      </c>
      <c r="F41" s="18"/>
    </row>
    <row r="42" spans="1:6" s="2" customFormat="1" ht="22.5" customHeight="1">
      <c r="A42" s="79" t="s">
        <v>13</v>
      </c>
      <c r="B42" s="8">
        <f t="shared" si="0"/>
        <v>147.87900000000002</v>
      </c>
      <c r="C42" s="95">
        <v>49.578</v>
      </c>
      <c r="D42" s="96"/>
      <c r="E42" s="96">
        <v>98.301</v>
      </c>
      <c r="F42" s="9"/>
    </row>
    <row r="43" spans="1:6" s="2" customFormat="1" ht="22.5" customHeight="1">
      <c r="A43" s="79" t="s">
        <v>10</v>
      </c>
      <c r="B43" s="8">
        <f t="shared" si="0"/>
        <v>0</v>
      </c>
      <c r="C43" s="8"/>
      <c r="D43" s="8"/>
      <c r="E43" s="17">
        <f>E44+E45</f>
        <v>0</v>
      </c>
      <c r="F43" s="18">
        <f>F44+F45</f>
        <v>0</v>
      </c>
    </row>
    <row r="44" spans="1:6" s="2" customFormat="1" ht="22.5" customHeight="1">
      <c r="A44" s="79" t="s">
        <v>11</v>
      </c>
      <c r="B44" s="8">
        <f t="shared" si="0"/>
        <v>0</v>
      </c>
      <c r="C44" s="72"/>
      <c r="D44" s="72"/>
      <c r="E44" s="72"/>
      <c r="F44" s="12"/>
    </row>
    <row r="45" spans="1:6" s="2" customFormat="1" ht="22.5" customHeight="1">
      <c r="A45" s="79" t="s">
        <v>12</v>
      </c>
      <c r="B45" s="8">
        <f t="shared" si="0"/>
        <v>0</v>
      </c>
      <c r="C45" s="72"/>
      <c r="D45" s="72"/>
      <c r="E45" s="72"/>
      <c r="F45" s="12"/>
    </row>
    <row r="46" spans="1:6" s="2" customFormat="1" ht="22.5" customHeight="1">
      <c r="A46" s="81" t="s">
        <v>26</v>
      </c>
      <c r="B46" s="8">
        <f t="shared" si="0"/>
        <v>437.213</v>
      </c>
      <c r="C46" s="8"/>
      <c r="D46" s="8"/>
      <c r="E46" s="8">
        <f>E47+E48</f>
        <v>363.059</v>
      </c>
      <c r="F46" s="9">
        <f>F47+F48</f>
        <v>74.154</v>
      </c>
    </row>
    <row r="47" spans="1:6" s="2" customFormat="1" ht="22.5" customHeight="1">
      <c r="A47" s="79" t="s">
        <v>13</v>
      </c>
      <c r="B47" s="8">
        <f t="shared" si="0"/>
        <v>437.213</v>
      </c>
      <c r="C47" s="8"/>
      <c r="D47" s="8"/>
      <c r="E47" s="17">
        <v>363.059</v>
      </c>
      <c r="F47" s="18">
        <v>74.154</v>
      </c>
    </row>
    <row r="48" spans="1:6" s="2" customFormat="1" ht="22.5" customHeight="1">
      <c r="A48" s="79" t="s">
        <v>10</v>
      </c>
      <c r="B48" s="8">
        <f t="shared" si="0"/>
        <v>0</v>
      </c>
      <c r="C48" s="8"/>
      <c r="D48" s="8"/>
      <c r="E48" s="17">
        <f>E49+E50</f>
        <v>0</v>
      </c>
      <c r="F48" s="18">
        <f>F49+F50</f>
        <v>0</v>
      </c>
    </row>
    <row r="49" spans="1:6" s="2" customFormat="1" ht="22.5" customHeight="1">
      <c r="A49" s="79" t="s">
        <v>11</v>
      </c>
      <c r="B49" s="8">
        <f t="shared" si="0"/>
        <v>0</v>
      </c>
      <c r="C49" s="10"/>
      <c r="D49" s="8"/>
      <c r="E49" s="10"/>
      <c r="F49" s="14"/>
    </row>
    <row r="50" spans="1:6" s="2" customFormat="1" ht="22.5" customHeight="1">
      <c r="A50" s="79" t="s">
        <v>12</v>
      </c>
      <c r="B50" s="8">
        <f t="shared" si="0"/>
        <v>0</v>
      </c>
      <c r="C50" s="10"/>
      <c r="D50" s="8"/>
      <c r="E50" s="10"/>
      <c r="F50" s="14"/>
    </row>
    <row r="51" spans="1:6" s="2" customFormat="1" ht="22.5" customHeight="1">
      <c r="A51" s="81" t="s">
        <v>4</v>
      </c>
      <c r="B51" s="8">
        <f t="shared" si="0"/>
        <v>1006.058</v>
      </c>
      <c r="C51" s="72">
        <f>C52+C53</f>
        <v>1006.058</v>
      </c>
      <c r="D51" s="8"/>
      <c r="E51" s="8"/>
      <c r="F51" s="9"/>
    </row>
    <row r="52" spans="1:6" s="2" customFormat="1" ht="22.5" customHeight="1">
      <c r="A52" s="100" t="s">
        <v>48</v>
      </c>
      <c r="B52" s="8">
        <f t="shared" si="0"/>
        <v>1006.058</v>
      </c>
      <c r="C52" s="17">
        <v>1006.058</v>
      </c>
      <c r="D52" s="8"/>
      <c r="E52" s="17">
        <f>E51-E53</f>
        <v>0</v>
      </c>
      <c r="F52" s="18">
        <f>F51-F53</f>
        <v>0</v>
      </c>
    </row>
    <row r="53" spans="1:6" s="2" customFormat="1" ht="22.5" customHeight="1">
      <c r="A53" s="79" t="s">
        <v>10</v>
      </c>
      <c r="B53" s="8">
        <f t="shared" si="0"/>
        <v>0</v>
      </c>
      <c r="C53" s="17">
        <f>C54+C55</f>
        <v>0</v>
      </c>
      <c r="D53" s="8"/>
      <c r="E53" s="17">
        <f>E54+E55</f>
        <v>0</v>
      </c>
      <c r="F53" s="18">
        <f>F54+F55</f>
        <v>0</v>
      </c>
    </row>
    <row r="54" spans="1:6" s="2" customFormat="1" ht="22.5" customHeight="1">
      <c r="A54" s="79" t="s">
        <v>11</v>
      </c>
      <c r="B54" s="8">
        <f t="shared" si="0"/>
        <v>0</v>
      </c>
      <c r="C54" s="70"/>
      <c r="D54" s="8"/>
      <c r="E54" s="8"/>
      <c r="F54" s="9"/>
    </row>
    <row r="55" spans="1:6" s="2" customFormat="1" ht="22.5" customHeight="1">
      <c r="A55" s="79" t="s">
        <v>12</v>
      </c>
      <c r="B55" s="8">
        <f aca="true" t="shared" si="1" ref="B55:B114">C55+D55+E55+F55</f>
        <v>0</v>
      </c>
      <c r="C55" s="70"/>
      <c r="D55" s="8"/>
      <c r="E55" s="8"/>
      <c r="F55" s="9"/>
    </row>
    <row r="56" spans="1:6" s="6" customFormat="1" ht="53.25" customHeight="1">
      <c r="A56" s="80" t="s">
        <v>40</v>
      </c>
      <c r="B56" s="8">
        <f t="shared" si="1"/>
        <v>1801.614</v>
      </c>
      <c r="C56" s="17">
        <f>C57+C58</f>
        <v>855</v>
      </c>
      <c r="D56" s="17">
        <f>D57+D58</f>
        <v>0</v>
      </c>
      <c r="E56" s="17">
        <f>E57+E58</f>
        <v>431.974</v>
      </c>
      <c r="F56" s="18">
        <f>F57+F58</f>
        <v>514.6400000000001</v>
      </c>
    </row>
    <row r="57" spans="1:6" ht="22.5" customHeight="1">
      <c r="A57" s="79" t="s">
        <v>13</v>
      </c>
      <c r="B57" s="8">
        <f t="shared" si="1"/>
        <v>1430.876</v>
      </c>
      <c r="C57" s="17">
        <v>855</v>
      </c>
      <c r="D57" s="17"/>
      <c r="E57" s="8">
        <v>431.974</v>
      </c>
      <c r="F57" s="9">
        <v>143.902</v>
      </c>
    </row>
    <row r="58" spans="1:6" ht="22.5" customHeight="1">
      <c r="A58" s="79" t="s">
        <v>10</v>
      </c>
      <c r="B58" s="8">
        <f t="shared" si="1"/>
        <v>370.73800000000006</v>
      </c>
      <c r="C58" s="17">
        <f>C59+C60</f>
        <v>0</v>
      </c>
      <c r="D58" s="17">
        <f>D59+D60</f>
        <v>0</v>
      </c>
      <c r="E58" s="17">
        <f>E59+E60</f>
        <v>0</v>
      </c>
      <c r="F58" s="18">
        <f>F59+F60</f>
        <v>370.73800000000006</v>
      </c>
    </row>
    <row r="59" spans="1:6" s="33" customFormat="1" ht="22.5" customHeight="1">
      <c r="A59" s="79" t="s">
        <v>11</v>
      </c>
      <c r="B59" s="8">
        <f t="shared" si="1"/>
        <v>325.071</v>
      </c>
      <c r="C59" s="70"/>
      <c r="D59" s="8"/>
      <c r="E59" s="8"/>
      <c r="F59" s="14">
        <v>325.071</v>
      </c>
    </row>
    <row r="60" spans="1:6" s="33" customFormat="1" ht="22.5" customHeight="1">
      <c r="A60" s="79" t="s">
        <v>12</v>
      </c>
      <c r="B60" s="8">
        <f t="shared" si="1"/>
        <v>45.667</v>
      </c>
      <c r="C60" s="70"/>
      <c r="D60" s="8"/>
      <c r="E60" s="8"/>
      <c r="F60" s="14">
        <v>45.667</v>
      </c>
    </row>
    <row r="61" spans="1:6" s="33" customFormat="1" ht="22.5" customHeight="1">
      <c r="A61" s="80" t="s">
        <v>25</v>
      </c>
      <c r="B61" s="8">
        <f t="shared" si="1"/>
        <v>2295</v>
      </c>
      <c r="C61" s="17">
        <f>C62+C63</f>
        <v>2285</v>
      </c>
      <c r="D61" s="8"/>
      <c r="E61" s="17">
        <f>E62+E63</f>
        <v>0</v>
      </c>
      <c r="F61" s="18">
        <f>F62+F63</f>
        <v>10</v>
      </c>
    </row>
    <row r="62" spans="1:6" s="33" customFormat="1" ht="22.5" customHeight="1">
      <c r="A62" s="79" t="s">
        <v>13</v>
      </c>
      <c r="B62" s="8">
        <f t="shared" si="1"/>
        <v>2295</v>
      </c>
      <c r="C62" s="82">
        <v>2285</v>
      </c>
      <c r="D62" s="82"/>
      <c r="E62" s="82"/>
      <c r="F62" s="83">
        <v>10</v>
      </c>
    </row>
    <row r="63" spans="1:6" s="33" customFormat="1" ht="22.5" customHeight="1">
      <c r="A63" s="79" t="s">
        <v>10</v>
      </c>
      <c r="B63" s="8">
        <f t="shared" si="1"/>
        <v>0</v>
      </c>
      <c r="C63" s="17">
        <f>C64+C65</f>
        <v>0</v>
      </c>
      <c r="D63" s="8"/>
      <c r="E63" s="17">
        <f>E64+E65</f>
        <v>0</v>
      </c>
      <c r="F63" s="18">
        <f>F64+F65</f>
        <v>0</v>
      </c>
    </row>
    <row r="64" spans="1:6" s="33" customFormat="1" ht="22.5" customHeight="1">
      <c r="A64" s="79" t="s">
        <v>11</v>
      </c>
      <c r="B64" s="8">
        <f t="shared" si="1"/>
        <v>0</v>
      </c>
      <c r="C64" s="70"/>
      <c r="D64" s="8"/>
      <c r="E64" s="8"/>
      <c r="F64" s="9"/>
    </row>
    <row r="65" spans="1:6" s="33" customFormat="1" ht="22.5" customHeight="1">
      <c r="A65" s="79" t="s">
        <v>12</v>
      </c>
      <c r="B65" s="8">
        <f t="shared" si="1"/>
        <v>0</v>
      </c>
      <c r="C65" s="70"/>
      <c r="D65" s="8"/>
      <c r="E65" s="8"/>
      <c r="F65" s="9"/>
    </row>
    <row r="66" spans="1:6" s="33" customFormat="1" ht="22.5" customHeight="1">
      <c r="A66" s="80" t="s">
        <v>41</v>
      </c>
      <c r="B66" s="8">
        <f t="shared" si="1"/>
        <v>27</v>
      </c>
      <c r="C66" s="8">
        <f>C67+C68</f>
        <v>0</v>
      </c>
      <c r="D66" s="8"/>
      <c r="E66" s="8">
        <f>E67+E68</f>
        <v>27</v>
      </c>
      <c r="F66" s="9">
        <f>F67+F68</f>
        <v>0</v>
      </c>
    </row>
    <row r="67" spans="1:6" ht="22.5" customHeight="1">
      <c r="A67" s="79" t="s">
        <v>13</v>
      </c>
      <c r="B67" s="8">
        <f t="shared" si="1"/>
        <v>27</v>
      </c>
      <c r="C67" s="82"/>
      <c r="D67" s="82"/>
      <c r="E67" s="82">
        <v>27</v>
      </c>
      <c r="F67" s="83"/>
    </row>
    <row r="68" spans="1:6" ht="22.5" customHeight="1">
      <c r="A68" s="79" t="s">
        <v>10</v>
      </c>
      <c r="B68" s="8">
        <f t="shared" si="1"/>
        <v>0</v>
      </c>
      <c r="C68" s="70"/>
      <c r="D68" s="8"/>
      <c r="E68" s="8">
        <f>E70+E69</f>
        <v>0</v>
      </c>
      <c r="F68" s="9">
        <f>F70+F69</f>
        <v>0</v>
      </c>
    </row>
    <row r="69" spans="1:6" ht="22.5" customHeight="1">
      <c r="A69" s="79" t="s">
        <v>11</v>
      </c>
      <c r="B69" s="8">
        <f t="shared" si="1"/>
        <v>0</v>
      </c>
      <c r="C69" s="70"/>
      <c r="D69" s="8"/>
      <c r="E69" s="10"/>
      <c r="F69" s="14"/>
    </row>
    <row r="70" spans="1:6" ht="22.5" customHeight="1">
      <c r="A70" s="79" t="s">
        <v>12</v>
      </c>
      <c r="B70" s="8">
        <f t="shared" si="1"/>
        <v>0</v>
      </c>
      <c r="C70" s="70"/>
      <c r="D70" s="8"/>
      <c r="E70" s="10"/>
      <c r="F70" s="14"/>
    </row>
    <row r="71" spans="1:6" ht="45" customHeight="1">
      <c r="A71" s="80" t="s">
        <v>23</v>
      </c>
      <c r="B71" s="8">
        <f t="shared" si="1"/>
        <v>97.331</v>
      </c>
      <c r="C71" s="70"/>
      <c r="D71" s="8"/>
      <c r="E71" s="8">
        <f>E72+E73</f>
        <v>0</v>
      </c>
      <c r="F71" s="9">
        <f>F72+F73</f>
        <v>97.331</v>
      </c>
    </row>
    <row r="72" spans="1:6" ht="22.5" customHeight="1">
      <c r="A72" s="79" t="s">
        <v>13</v>
      </c>
      <c r="B72" s="8">
        <f t="shared" si="1"/>
        <v>20.06</v>
      </c>
      <c r="C72" s="70"/>
      <c r="D72" s="8"/>
      <c r="E72" s="8"/>
      <c r="F72" s="84">
        <v>20.06</v>
      </c>
    </row>
    <row r="73" spans="1:6" ht="22.5" customHeight="1">
      <c r="A73" s="79" t="s">
        <v>10</v>
      </c>
      <c r="B73" s="8">
        <f t="shared" si="1"/>
        <v>77.271</v>
      </c>
      <c r="C73" s="70"/>
      <c r="D73" s="8"/>
      <c r="E73" s="8">
        <f>E75+E74</f>
        <v>0</v>
      </c>
      <c r="F73" s="9">
        <f>F75+F74</f>
        <v>77.271</v>
      </c>
    </row>
    <row r="74" spans="1:6" ht="22.5" customHeight="1">
      <c r="A74" s="79" t="s">
        <v>11</v>
      </c>
      <c r="B74" s="8">
        <f t="shared" si="1"/>
        <v>77.271</v>
      </c>
      <c r="C74" s="70"/>
      <c r="D74" s="8"/>
      <c r="E74" s="10"/>
      <c r="F74" s="14">
        <v>77.271</v>
      </c>
    </row>
    <row r="75" spans="1:6" ht="22.5" customHeight="1">
      <c r="A75" s="79" t="s">
        <v>12</v>
      </c>
      <c r="B75" s="8">
        <f t="shared" si="1"/>
        <v>0</v>
      </c>
      <c r="C75" s="70"/>
      <c r="D75" s="8"/>
      <c r="E75" s="10"/>
      <c r="F75" s="14"/>
    </row>
    <row r="76" spans="1:6" ht="45" customHeight="1">
      <c r="A76" s="80" t="s">
        <v>42</v>
      </c>
      <c r="B76" s="8">
        <f t="shared" si="1"/>
        <v>258.17400000000004</v>
      </c>
      <c r="C76" s="70"/>
      <c r="D76" s="8"/>
      <c r="E76" s="8">
        <f>E77+E78</f>
        <v>21.434</v>
      </c>
      <c r="F76" s="9">
        <f>F77+F78</f>
        <v>236.74</v>
      </c>
    </row>
    <row r="77" spans="1:6" ht="22.5" customHeight="1">
      <c r="A77" s="79" t="s">
        <v>13</v>
      </c>
      <c r="B77" s="8">
        <f t="shared" si="1"/>
        <v>74.559</v>
      </c>
      <c r="C77" s="70"/>
      <c r="D77" s="8"/>
      <c r="E77" s="90">
        <v>21.434</v>
      </c>
      <c r="F77" s="84">
        <v>53.125</v>
      </c>
    </row>
    <row r="78" spans="1:6" ht="22.5" customHeight="1">
      <c r="A78" s="79" t="s">
        <v>10</v>
      </c>
      <c r="B78" s="8">
        <f t="shared" si="1"/>
        <v>183.615</v>
      </c>
      <c r="C78" s="70"/>
      <c r="D78" s="8"/>
      <c r="E78" s="8">
        <f>E80+E79</f>
        <v>0</v>
      </c>
      <c r="F78" s="9">
        <f>F80+F79</f>
        <v>183.615</v>
      </c>
    </row>
    <row r="79" spans="1:6" ht="22.5" customHeight="1">
      <c r="A79" s="79" t="s">
        <v>11</v>
      </c>
      <c r="B79" s="8">
        <f t="shared" si="1"/>
        <v>0</v>
      </c>
      <c r="C79" s="70"/>
      <c r="D79" s="8"/>
      <c r="E79" s="8"/>
      <c r="F79" s="9"/>
    </row>
    <row r="80" spans="1:6" ht="22.5" customHeight="1">
      <c r="A80" s="79" t="s">
        <v>12</v>
      </c>
      <c r="B80" s="8">
        <f t="shared" si="1"/>
        <v>183.615</v>
      </c>
      <c r="C80" s="70"/>
      <c r="D80" s="8"/>
      <c r="E80" s="8"/>
      <c r="F80" s="9">
        <v>183.615</v>
      </c>
    </row>
    <row r="81" spans="1:6" ht="22.5" customHeight="1">
      <c r="A81" s="80" t="s">
        <v>21</v>
      </c>
      <c r="B81" s="8">
        <f t="shared" si="1"/>
        <v>362.668</v>
      </c>
      <c r="C81" s="8">
        <f>C82+C83</f>
        <v>0</v>
      </c>
      <c r="D81" s="8"/>
      <c r="E81" s="8">
        <f>E82+E83</f>
        <v>362.668</v>
      </c>
      <c r="F81" s="9">
        <f>F82+F83</f>
        <v>0</v>
      </c>
    </row>
    <row r="82" spans="1:6" ht="22.5" customHeight="1">
      <c r="A82" s="79" t="s">
        <v>13</v>
      </c>
      <c r="B82" s="8">
        <f t="shared" si="1"/>
        <v>362.668</v>
      </c>
      <c r="C82" s="82"/>
      <c r="D82" s="82"/>
      <c r="E82" s="82">
        <v>362.668</v>
      </c>
      <c r="F82" s="83"/>
    </row>
    <row r="83" spans="1:6" ht="22.5" customHeight="1">
      <c r="A83" s="79" t="s">
        <v>10</v>
      </c>
      <c r="B83" s="8">
        <f t="shared" si="1"/>
        <v>0</v>
      </c>
      <c r="C83" s="70"/>
      <c r="D83" s="8"/>
      <c r="E83" s="8">
        <f>E85+E84</f>
        <v>0</v>
      </c>
      <c r="F83" s="9">
        <f>F85+F84</f>
        <v>0</v>
      </c>
    </row>
    <row r="84" spans="1:6" ht="22.5" customHeight="1">
      <c r="A84" s="79" t="s">
        <v>11</v>
      </c>
      <c r="B84" s="8">
        <f t="shared" si="1"/>
        <v>0</v>
      </c>
      <c r="C84" s="70"/>
      <c r="D84" s="8"/>
      <c r="E84" s="10"/>
      <c r="F84" s="14"/>
    </row>
    <row r="85" spans="1:6" ht="22.5" customHeight="1">
      <c r="A85" s="79" t="s">
        <v>12</v>
      </c>
      <c r="B85" s="8">
        <f t="shared" si="1"/>
        <v>0</v>
      </c>
      <c r="C85" s="70"/>
      <c r="D85" s="8"/>
      <c r="E85" s="10"/>
      <c r="F85" s="14"/>
    </row>
    <row r="86" spans="1:6" ht="22.5" customHeight="1">
      <c r="A86" s="80" t="s">
        <v>22</v>
      </c>
      <c r="B86" s="8">
        <f t="shared" si="1"/>
        <v>706.466</v>
      </c>
      <c r="C86" s="70"/>
      <c r="D86" s="8"/>
      <c r="E86" s="8">
        <f>E87+E88</f>
        <v>706.466</v>
      </c>
      <c r="F86" s="9">
        <f>F87+F88</f>
        <v>0</v>
      </c>
    </row>
    <row r="87" spans="1:6" ht="22.5" customHeight="1">
      <c r="A87" s="79" t="s">
        <v>13</v>
      </c>
      <c r="B87" s="8">
        <f t="shared" si="1"/>
        <v>706.466</v>
      </c>
      <c r="C87" s="70"/>
      <c r="D87" s="8"/>
      <c r="E87" s="8">
        <f>690.235+16.231</f>
        <v>706.466</v>
      </c>
      <c r="F87" s="84"/>
    </row>
    <row r="88" spans="1:6" ht="22.5" customHeight="1">
      <c r="A88" s="79" t="s">
        <v>10</v>
      </c>
      <c r="B88" s="8">
        <f t="shared" si="1"/>
        <v>0</v>
      </c>
      <c r="C88" s="70"/>
      <c r="D88" s="8"/>
      <c r="E88" s="8">
        <f>E90+E89</f>
        <v>0</v>
      </c>
      <c r="F88" s="9">
        <f>F90+F89</f>
        <v>0</v>
      </c>
    </row>
    <row r="89" spans="1:6" ht="22.5" customHeight="1">
      <c r="A89" s="79" t="s">
        <v>11</v>
      </c>
      <c r="B89" s="8">
        <f t="shared" si="1"/>
        <v>0</v>
      </c>
      <c r="C89" s="70"/>
      <c r="D89" s="8"/>
      <c r="E89" s="10"/>
      <c r="F89" s="14"/>
    </row>
    <row r="90" spans="1:6" ht="22.5" customHeight="1">
      <c r="A90" s="79" t="s">
        <v>12</v>
      </c>
      <c r="B90" s="8">
        <f t="shared" si="1"/>
        <v>0</v>
      </c>
      <c r="C90" s="70"/>
      <c r="D90" s="8"/>
      <c r="E90" s="10"/>
      <c r="F90" s="14"/>
    </row>
    <row r="91" spans="1:6" ht="22.5" customHeight="1">
      <c r="A91" s="80" t="s">
        <v>49</v>
      </c>
      <c r="B91" s="8">
        <f t="shared" si="1"/>
        <v>0</v>
      </c>
      <c r="C91" s="70"/>
      <c r="D91" s="8"/>
      <c r="E91" s="8">
        <f>E92+E93</f>
        <v>0</v>
      </c>
      <c r="F91" s="9">
        <f>F92+F93</f>
        <v>0</v>
      </c>
    </row>
    <row r="92" spans="1:6" ht="22.5" customHeight="1">
      <c r="A92" s="79" t="s">
        <v>13</v>
      </c>
      <c r="B92" s="8">
        <f t="shared" si="1"/>
        <v>0</v>
      </c>
      <c r="C92" s="70"/>
      <c r="D92" s="8"/>
      <c r="E92" s="8"/>
      <c r="F92" s="84"/>
    </row>
    <row r="93" spans="1:6" ht="22.5" customHeight="1">
      <c r="A93" s="79" t="s">
        <v>10</v>
      </c>
      <c r="B93" s="8">
        <f t="shared" si="1"/>
        <v>0</v>
      </c>
      <c r="C93" s="70"/>
      <c r="D93" s="8"/>
      <c r="E93" s="8">
        <f>E95+E94</f>
        <v>0</v>
      </c>
      <c r="F93" s="9">
        <f>F95+F94</f>
        <v>0</v>
      </c>
    </row>
    <row r="94" spans="1:6" ht="22.5" customHeight="1">
      <c r="A94" s="79" t="s">
        <v>11</v>
      </c>
      <c r="B94" s="8">
        <f t="shared" si="1"/>
        <v>0</v>
      </c>
      <c r="C94" s="70"/>
      <c r="D94" s="8"/>
      <c r="E94" s="8"/>
      <c r="F94" s="9"/>
    </row>
    <row r="95" spans="1:6" ht="22.5" customHeight="1">
      <c r="A95" s="79" t="s">
        <v>12</v>
      </c>
      <c r="B95" s="8">
        <f t="shared" si="1"/>
        <v>0</v>
      </c>
      <c r="C95" s="70"/>
      <c r="D95" s="8"/>
      <c r="E95" s="8"/>
      <c r="F95" s="9"/>
    </row>
    <row r="96" spans="1:6" ht="22.5" customHeight="1">
      <c r="A96" s="80" t="s">
        <v>70</v>
      </c>
      <c r="B96" s="8">
        <f t="shared" si="1"/>
        <v>65</v>
      </c>
      <c r="C96" s="17"/>
      <c r="D96" s="8"/>
      <c r="E96" s="17">
        <f>E97+E98</f>
        <v>65</v>
      </c>
      <c r="F96" s="18">
        <f>F97+F98</f>
        <v>0</v>
      </c>
    </row>
    <row r="97" spans="1:6" ht="22.5" customHeight="1">
      <c r="A97" s="79" t="s">
        <v>13</v>
      </c>
      <c r="B97" s="8">
        <f t="shared" si="1"/>
        <v>65</v>
      </c>
      <c r="C97" s="8"/>
      <c r="D97" s="8"/>
      <c r="E97" s="17">
        <v>65</v>
      </c>
      <c r="F97" s="18"/>
    </row>
    <row r="98" spans="1:6" ht="22.5" customHeight="1">
      <c r="A98" s="79" t="s">
        <v>10</v>
      </c>
      <c r="B98" s="8">
        <f t="shared" si="1"/>
        <v>0</v>
      </c>
      <c r="C98" s="8"/>
      <c r="D98" s="8"/>
      <c r="E98" s="17">
        <f>E99+E100</f>
        <v>0</v>
      </c>
      <c r="F98" s="18">
        <f>F99+F100</f>
        <v>0</v>
      </c>
    </row>
    <row r="99" spans="1:6" ht="22.5" customHeight="1">
      <c r="A99" s="79" t="s">
        <v>11</v>
      </c>
      <c r="B99" s="8">
        <f t="shared" si="1"/>
        <v>0</v>
      </c>
      <c r="C99" s="8"/>
      <c r="D99" s="8"/>
      <c r="E99" s="70"/>
      <c r="F99" s="71"/>
    </row>
    <row r="100" spans="1:6" ht="22.5" customHeight="1">
      <c r="A100" s="79" t="s">
        <v>12</v>
      </c>
      <c r="B100" s="8">
        <f t="shared" si="1"/>
        <v>0</v>
      </c>
      <c r="C100" s="8"/>
      <c r="D100" s="8"/>
      <c r="E100" s="70"/>
      <c r="F100" s="71"/>
    </row>
    <row r="101" spans="1:6" ht="22.5" customHeight="1">
      <c r="A101" s="80" t="s">
        <v>8</v>
      </c>
      <c r="B101" s="8">
        <f t="shared" si="1"/>
        <v>1908.473</v>
      </c>
      <c r="C101" s="17"/>
      <c r="D101" s="8"/>
      <c r="E101" s="17">
        <f>E102+E103</f>
        <v>1106.105</v>
      </c>
      <c r="F101" s="18">
        <f>F102+F103</f>
        <v>802.368</v>
      </c>
    </row>
    <row r="102" spans="1:6" ht="22.5" customHeight="1">
      <c r="A102" s="79" t="s">
        <v>13</v>
      </c>
      <c r="B102" s="8">
        <f t="shared" si="1"/>
        <v>1149.35</v>
      </c>
      <c r="C102" s="8"/>
      <c r="D102" s="8"/>
      <c r="E102" s="8">
        <v>920.606</v>
      </c>
      <c r="F102" s="9">
        <v>228.744</v>
      </c>
    </row>
    <row r="103" spans="1:6" ht="22.5" customHeight="1">
      <c r="A103" s="79" t="s">
        <v>10</v>
      </c>
      <c r="B103" s="8">
        <f t="shared" si="1"/>
        <v>759.123</v>
      </c>
      <c r="C103" s="8"/>
      <c r="D103" s="8"/>
      <c r="E103" s="17">
        <f>E104+E105</f>
        <v>185.499</v>
      </c>
      <c r="F103" s="18">
        <f>F104+F105</f>
        <v>573.624</v>
      </c>
    </row>
    <row r="104" spans="1:6" ht="22.5" customHeight="1">
      <c r="A104" s="79" t="s">
        <v>11</v>
      </c>
      <c r="B104" s="8">
        <f t="shared" si="1"/>
        <v>589.783</v>
      </c>
      <c r="C104" s="8"/>
      <c r="D104" s="8"/>
      <c r="E104" s="11">
        <f>165.153+8.16</f>
        <v>173.313</v>
      </c>
      <c r="F104" s="12">
        <f>360.63+55.84</f>
        <v>416.47</v>
      </c>
    </row>
    <row r="105" spans="1:6" ht="22.5" customHeight="1">
      <c r="A105" s="79" t="s">
        <v>12</v>
      </c>
      <c r="B105" s="8">
        <f t="shared" si="1"/>
        <v>169.34</v>
      </c>
      <c r="C105" s="8"/>
      <c r="D105" s="8"/>
      <c r="E105" s="11">
        <v>12.186</v>
      </c>
      <c r="F105" s="12">
        <v>157.154</v>
      </c>
    </row>
    <row r="106" spans="1:6" ht="22.5" customHeight="1">
      <c r="A106" s="80" t="s">
        <v>5</v>
      </c>
      <c r="B106" s="8">
        <f t="shared" si="1"/>
        <v>3964.888</v>
      </c>
      <c r="C106" s="17">
        <f>C107+C108</f>
        <v>425.065</v>
      </c>
      <c r="D106" s="8"/>
      <c r="E106" s="17">
        <f>E107+E108</f>
        <v>2504.497</v>
      </c>
      <c r="F106" s="18">
        <f>F107+F108</f>
        <v>1035.326</v>
      </c>
    </row>
    <row r="107" spans="1:6" ht="22.5" customHeight="1">
      <c r="A107" s="79" t="s">
        <v>13</v>
      </c>
      <c r="B107" s="8">
        <f t="shared" si="1"/>
        <v>2687.87</v>
      </c>
      <c r="C107" s="17">
        <v>425.065</v>
      </c>
      <c r="D107" s="17"/>
      <c r="E107" s="8">
        <v>1944.57</v>
      </c>
      <c r="F107" s="9">
        <v>318.235</v>
      </c>
    </row>
    <row r="108" spans="1:6" ht="22.5" customHeight="1">
      <c r="A108" s="79" t="s">
        <v>10</v>
      </c>
      <c r="B108" s="8">
        <f t="shared" si="1"/>
        <v>1277.018</v>
      </c>
      <c r="C108" s="8"/>
      <c r="D108" s="8"/>
      <c r="E108" s="17">
        <f>E109+E110</f>
        <v>559.927</v>
      </c>
      <c r="F108" s="18">
        <f>F109+F110</f>
        <v>717.091</v>
      </c>
    </row>
    <row r="109" spans="1:6" ht="22.5" customHeight="1">
      <c r="A109" s="79" t="s">
        <v>11</v>
      </c>
      <c r="B109" s="8">
        <f t="shared" si="1"/>
        <v>1174.058</v>
      </c>
      <c r="C109" s="72"/>
      <c r="D109" s="72"/>
      <c r="E109" s="11">
        <f>566.818+78.933-118.784</f>
        <v>526.967</v>
      </c>
      <c r="F109" s="12">
        <f>556.443+90.648</f>
        <v>647.091</v>
      </c>
    </row>
    <row r="110" spans="1:6" ht="22.5" customHeight="1">
      <c r="A110" s="79" t="s">
        <v>12</v>
      </c>
      <c r="B110" s="8">
        <f t="shared" si="1"/>
        <v>102.96000000000001</v>
      </c>
      <c r="C110" s="70"/>
      <c r="D110" s="70"/>
      <c r="E110" s="11">
        <v>32.96</v>
      </c>
      <c r="F110" s="73">
        <v>70</v>
      </c>
    </row>
    <row r="111" spans="1:6" ht="22.5" customHeight="1">
      <c r="A111" s="80" t="s">
        <v>43</v>
      </c>
      <c r="B111" s="8">
        <f t="shared" si="1"/>
        <v>6820.126</v>
      </c>
      <c r="C111" s="17"/>
      <c r="D111" s="8"/>
      <c r="E111" s="17">
        <f>E112+E113</f>
        <v>1564.357</v>
      </c>
      <c r="F111" s="18">
        <f>F112+F113</f>
        <v>5255.769</v>
      </c>
    </row>
    <row r="112" spans="1:6" ht="22.5" customHeight="1">
      <c r="A112" s="79" t="s">
        <v>13</v>
      </c>
      <c r="B112" s="8">
        <f t="shared" si="1"/>
        <v>3410.491</v>
      </c>
      <c r="C112" s="8"/>
      <c r="D112" s="8"/>
      <c r="E112" s="17">
        <v>1515.868</v>
      </c>
      <c r="F112" s="18">
        <v>1894.623</v>
      </c>
    </row>
    <row r="113" spans="1:6" ht="22.5" customHeight="1">
      <c r="A113" s="79" t="s">
        <v>10</v>
      </c>
      <c r="B113" s="8">
        <f t="shared" si="1"/>
        <v>3409.6349999999998</v>
      </c>
      <c r="C113" s="8"/>
      <c r="D113" s="8"/>
      <c r="E113" s="17">
        <f>E114+E115</f>
        <v>48.489000000000004</v>
      </c>
      <c r="F113" s="18">
        <f>F114+F115</f>
        <v>3361.1459999999997</v>
      </c>
    </row>
    <row r="114" spans="1:6" ht="22.5" customHeight="1">
      <c r="A114" s="79" t="s">
        <v>11</v>
      </c>
      <c r="B114" s="8">
        <f t="shared" si="1"/>
        <v>756.934</v>
      </c>
      <c r="C114" s="10"/>
      <c r="D114" s="8"/>
      <c r="E114" s="11">
        <v>21.444</v>
      </c>
      <c r="F114" s="12">
        <v>735.49</v>
      </c>
    </row>
    <row r="115" spans="1:6" ht="22.5" customHeight="1" thickBot="1">
      <c r="A115" s="85" t="s">
        <v>12</v>
      </c>
      <c r="B115" s="19">
        <f>C115+D115+E115+F115</f>
        <v>2652.701</v>
      </c>
      <c r="C115" s="21"/>
      <c r="D115" s="19"/>
      <c r="E115" s="91">
        <v>27.045</v>
      </c>
      <c r="F115" s="93">
        <v>2625.656</v>
      </c>
    </row>
    <row r="116" spans="1:6" ht="18.75" thickBot="1">
      <c r="A116" s="174"/>
      <c r="B116" s="175"/>
      <c r="C116" s="175"/>
      <c r="D116" s="175"/>
      <c r="E116" s="175"/>
      <c r="F116" s="175"/>
    </row>
    <row r="117" spans="1:6" s="3" customFormat="1" ht="24" thickBot="1">
      <c r="A117" s="163" t="s">
        <v>72</v>
      </c>
      <c r="B117" s="40">
        <f>C117+D117+E117+F117</f>
        <v>137621.999</v>
      </c>
      <c r="C117" s="41">
        <f>C5+C10+C15+C20+C25+C31+C36+C41+C46+C51+C56+C61+C66+C71+C76+C81+C86+C91+C96+C101+C106+C111</f>
        <v>52895.50400000001</v>
      </c>
      <c r="D117" s="41">
        <f>D5+D10+D15+D20+D25+D31+D36+D41+D46+D51+D56+D61+D66+D71+D76+D81+D86+D91+D96+D101+D106+D111</f>
        <v>1667.4589999999998</v>
      </c>
      <c r="E117" s="41">
        <f>E5+E10+E15+E20+E25+E31+E36+E41+E46+E51+E56+E61+E66+E71+E76+E81+E86+E91+E96+E101+E106+E111</f>
        <v>37347.44</v>
      </c>
      <c r="F117" s="41">
        <f>F5+F10+F15+F20+F25+F31+F36+F41+F46+F51+F56+F61+F66+F71+F76+F81+F86+F91+F96+F101+F106+F111</f>
        <v>45711.596</v>
      </c>
    </row>
    <row r="120" spans="2:7" s="120" customFormat="1" ht="50.25" customHeight="1">
      <c r="B120" s="124"/>
      <c r="C120" s="124"/>
      <c r="D120" s="124"/>
      <c r="E120" s="124"/>
      <c r="F120" s="124"/>
      <c r="G120" s="33"/>
    </row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3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zoomScale="60" zoomScaleNormal="60" zoomScalePageLayoutView="0" workbookViewId="0" topLeftCell="A66">
      <selection activeCell="A116" sqref="A116:IV116"/>
    </sheetView>
  </sheetViews>
  <sheetFormatPr defaultColWidth="9.00390625" defaultRowHeight="12.75"/>
  <cols>
    <col min="1" max="1" width="56.25390625" style="0" customWidth="1"/>
    <col min="2" max="6" width="24.00390625" style="0" customWidth="1"/>
  </cols>
  <sheetData>
    <row r="1" spans="1:6" s="33" customFormat="1" ht="23.25">
      <c r="A1" s="185" t="s">
        <v>29</v>
      </c>
      <c r="B1" s="185"/>
      <c r="C1" s="185"/>
      <c r="D1" s="185"/>
      <c r="E1" s="185"/>
      <c r="F1" s="185"/>
    </row>
    <row r="2" spans="1:6" s="64" customFormat="1" ht="23.25">
      <c r="A2" s="186" t="s">
        <v>66</v>
      </c>
      <c r="B2" s="186"/>
      <c r="C2" s="186"/>
      <c r="D2" s="188"/>
      <c r="E2" s="188"/>
      <c r="F2" s="188"/>
    </row>
    <row r="3" spans="1:6" s="59" customFormat="1" ht="18.75" thickBot="1">
      <c r="A3" s="3"/>
      <c r="B3" s="3"/>
      <c r="C3" s="3"/>
      <c r="D3" s="3"/>
      <c r="E3" s="3"/>
      <c r="F3" s="56" t="s">
        <v>28</v>
      </c>
    </row>
    <row r="4" spans="1:8" s="66" customFormat="1" ht="29.25" customHeight="1" thickBot="1">
      <c r="A4" s="38" t="s">
        <v>33</v>
      </c>
      <c r="B4" s="53"/>
      <c r="C4" s="42" t="s">
        <v>0</v>
      </c>
      <c r="D4" s="42" t="s">
        <v>1</v>
      </c>
      <c r="E4" s="42" t="s">
        <v>2</v>
      </c>
      <c r="F4" s="43" t="s">
        <v>3</v>
      </c>
      <c r="G4" s="7"/>
      <c r="H4" s="65"/>
    </row>
    <row r="5" spans="1:6" s="2" customFormat="1" ht="57" customHeight="1">
      <c r="A5" s="57" t="s">
        <v>35</v>
      </c>
      <c r="B5" s="44">
        <f>C5+D5+E5+F5</f>
        <v>258344.573</v>
      </c>
      <c r="C5" s="76">
        <f>C6+C7</f>
        <v>105214.989</v>
      </c>
      <c r="D5" s="76">
        <f>D6+D7</f>
        <v>3541.0009999999997</v>
      </c>
      <c r="E5" s="76">
        <f>E6+E7</f>
        <v>69123.238</v>
      </c>
      <c r="F5" s="77">
        <f>F6+F7</f>
        <v>80465.345</v>
      </c>
    </row>
    <row r="6" spans="1:6" s="2" customFormat="1" ht="27" customHeight="1">
      <c r="A6" s="97" t="s">
        <v>47</v>
      </c>
      <c r="B6" s="5">
        <f aca="true" t="shared" si="0" ref="B6:B39">C6+D6+E6+F6</f>
        <v>205315.107</v>
      </c>
      <c r="C6" s="68">
        <f>'октябрь факт'!C6+'ноябрь факт'!C6+'декабрь оперативно '!C6</f>
        <v>105144.12</v>
      </c>
      <c r="D6" s="68">
        <f>'октябрь факт'!D6+'ноябрь факт'!D6+'декабрь оперативно '!D6</f>
        <v>3536.571</v>
      </c>
      <c r="E6" s="68">
        <f>'октябрь факт'!E6+'ноябрь факт'!E6+'декабрь оперативно '!E6</f>
        <v>66883.951</v>
      </c>
      <c r="F6" s="69">
        <f>'октябрь факт'!F6+'ноябрь факт'!F6+'декабрь оперативно '!F6</f>
        <v>29750.465</v>
      </c>
    </row>
    <row r="7" spans="1:6" s="2" customFormat="1" ht="20.25" customHeight="1">
      <c r="A7" s="15" t="s">
        <v>10</v>
      </c>
      <c r="B7" s="5">
        <f t="shared" si="0"/>
        <v>53029.46600000001</v>
      </c>
      <c r="C7" s="68">
        <f>'октябрь факт'!C7+'ноябрь факт'!C7+'декабрь оперативно '!C7</f>
        <v>70.869</v>
      </c>
      <c r="D7" s="68">
        <f>'октябрь факт'!D7+'ноябрь факт'!D7+'декабрь оперативно '!D7</f>
        <v>4.43</v>
      </c>
      <c r="E7" s="68">
        <f>'октябрь факт'!E7+'ноябрь факт'!E7+'декабрь оперативно '!E7</f>
        <v>2239.2870000000003</v>
      </c>
      <c r="F7" s="69">
        <f>'октябрь факт'!F7+'ноябрь факт'!F7+'декабрь оперативно '!F7</f>
        <v>50714.880000000005</v>
      </c>
    </row>
    <row r="8" spans="1:6" s="2" customFormat="1" ht="21.75" customHeight="1">
      <c r="A8" s="15" t="s">
        <v>11</v>
      </c>
      <c r="B8" s="5">
        <f t="shared" si="0"/>
        <v>15839.922</v>
      </c>
      <c r="C8" s="68">
        <f>'октябрь факт'!C8+'ноябрь факт'!C8+'декабрь оперативно '!C8</f>
        <v>25.636</v>
      </c>
      <c r="D8" s="68">
        <f>'октябрь факт'!D8+'ноябрь факт'!D8+'декабрь оперативно '!D8</f>
        <v>0</v>
      </c>
      <c r="E8" s="68">
        <f>'октябрь факт'!E8+'ноябрь факт'!E8+'декабрь оперативно '!E8</f>
        <v>444.46500000000015</v>
      </c>
      <c r="F8" s="69">
        <f>'октябрь факт'!F8+'ноябрь факт'!F8+'декабрь оперативно '!F8</f>
        <v>15369.821</v>
      </c>
    </row>
    <row r="9" spans="1:6" s="2" customFormat="1" ht="24.75" customHeight="1">
      <c r="A9" s="15" t="s">
        <v>12</v>
      </c>
      <c r="B9" s="5">
        <f t="shared" si="0"/>
        <v>37189.544</v>
      </c>
      <c r="C9" s="68">
        <f>'октябрь факт'!C9+'ноябрь факт'!C9+'декабрь оперативно '!C9</f>
        <v>45.233000000000004</v>
      </c>
      <c r="D9" s="68">
        <f>'октябрь факт'!D9+'ноябрь факт'!D9+'декабрь оперативно '!D9</f>
        <v>4.43</v>
      </c>
      <c r="E9" s="68">
        <f>'октябрь факт'!E9+'ноябрь факт'!E9+'декабрь оперативно '!E9</f>
        <v>1794.822</v>
      </c>
      <c r="F9" s="69">
        <f>'октябрь факт'!F9+'ноябрь факт'!F9+'декабрь оперативно '!F9</f>
        <v>35345.059</v>
      </c>
    </row>
    <row r="10" spans="1:6" s="2" customFormat="1" ht="47.25" customHeight="1">
      <c r="A10" s="58" t="s">
        <v>36</v>
      </c>
      <c r="B10" s="5">
        <f t="shared" si="0"/>
        <v>19785.214</v>
      </c>
      <c r="C10" s="68">
        <f>'октябрь факт'!C10+'ноябрь факт'!C10+'декабрь оперативно '!C10</f>
        <v>3069.04</v>
      </c>
      <c r="D10" s="68">
        <f>'октябрь факт'!D10+'ноябрь факт'!D10+'декабрь оперативно '!D10</f>
        <v>0</v>
      </c>
      <c r="E10" s="68">
        <f>'октябрь факт'!E10+'ноябрь факт'!E10+'декабрь оперативно '!E10</f>
        <v>7370.886</v>
      </c>
      <c r="F10" s="69">
        <f>'октябрь факт'!F10+'ноябрь факт'!F10+'декабрь оперативно '!F10</f>
        <v>9345.288</v>
      </c>
    </row>
    <row r="11" spans="1:6" s="2" customFormat="1" ht="21.75" customHeight="1">
      <c r="A11" s="15" t="s">
        <v>13</v>
      </c>
      <c r="B11" s="5">
        <f t="shared" si="0"/>
        <v>12552.309000000001</v>
      </c>
      <c r="C11" s="68">
        <f>'октябрь факт'!C11+'ноябрь факт'!C11+'декабрь оперативно '!C11</f>
        <v>2718.179</v>
      </c>
      <c r="D11" s="68">
        <f>'октябрь факт'!D11+'ноябрь факт'!D11+'декабрь оперативно '!D11</f>
        <v>0</v>
      </c>
      <c r="E11" s="68">
        <f>'октябрь факт'!E11+'ноябрь факт'!E11+'декабрь оперативно '!E11</f>
        <v>6220.296</v>
      </c>
      <c r="F11" s="69">
        <f>'октябрь факт'!F11+'ноябрь факт'!F11+'декабрь оперативно '!F11</f>
        <v>3613.8340000000003</v>
      </c>
    </row>
    <row r="12" spans="1:6" s="2" customFormat="1" ht="19.5" customHeight="1">
      <c r="A12" s="15" t="s">
        <v>10</v>
      </c>
      <c r="B12" s="5">
        <f t="shared" si="0"/>
        <v>7232.905</v>
      </c>
      <c r="C12" s="68">
        <f>'октябрь факт'!C12+'ноябрь факт'!C12+'декабрь оперативно '!C12</f>
        <v>350.861</v>
      </c>
      <c r="D12" s="68">
        <f>'октябрь факт'!D12+'ноябрь факт'!D12+'декабрь оперативно '!D12</f>
        <v>0</v>
      </c>
      <c r="E12" s="68">
        <f>'октябрь факт'!E12+'ноябрь факт'!E12+'декабрь оперативно '!E12</f>
        <v>1150.59</v>
      </c>
      <c r="F12" s="69">
        <f>'октябрь факт'!F12+'ноябрь факт'!F12+'декабрь оперативно '!F12</f>
        <v>5731.454</v>
      </c>
    </row>
    <row r="13" spans="1:6" s="2" customFormat="1" ht="17.25" customHeight="1">
      <c r="A13" s="15" t="s">
        <v>11</v>
      </c>
      <c r="B13" s="5">
        <f t="shared" si="0"/>
        <v>4118.044</v>
      </c>
      <c r="C13" s="68">
        <f>'октябрь факт'!C13+'ноябрь факт'!C13+'декабрь оперативно '!C13</f>
        <v>0</v>
      </c>
      <c r="D13" s="68">
        <f>'октябрь факт'!D13+'ноябрь факт'!D13+'декабрь оперативно '!D13</f>
        <v>0</v>
      </c>
      <c r="E13" s="68">
        <f>'октябрь факт'!E13+'ноябрь факт'!E13+'декабрь оперативно '!E13</f>
        <v>222.178</v>
      </c>
      <c r="F13" s="69">
        <f>'октябрь факт'!F13+'ноябрь факт'!F13+'декабрь оперативно '!F13</f>
        <v>3895.866</v>
      </c>
    </row>
    <row r="14" spans="1:6" s="2" customFormat="1" ht="17.25" customHeight="1">
      <c r="A14" s="15" t="s">
        <v>12</v>
      </c>
      <c r="B14" s="5">
        <f t="shared" si="0"/>
        <v>3114.861</v>
      </c>
      <c r="C14" s="68">
        <f>'октябрь факт'!C14+'ноябрь факт'!C14+'декабрь оперативно '!C14</f>
        <v>350.861</v>
      </c>
      <c r="D14" s="68">
        <f>'октябрь факт'!D14+'ноябрь факт'!D14+'декабрь оперативно '!D14</f>
        <v>0</v>
      </c>
      <c r="E14" s="68">
        <f>'октябрь факт'!E14+'ноябрь факт'!E14+'декабрь оперативно '!E14</f>
        <v>928.4119999999999</v>
      </c>
      <c r="F14" s="69">
        <f>'октябрь факт'!F14+'ноябрь факт'!F14+'декабрь оперативно '!F14</f>
        <v>1835.588</v>
      </c>
    </row>
    <row r="15" spans="1:6" s="2" customFormat="1" ht="35.25" customHeight="1">
      <c r="A15" s="58" t="s">
        <v>6</v>
      </c>
      <c r="B15" s="5">
        <f t="shared" si="0"/>
        <v>4017.358</v>
      </c>
      <c r="C15" s="68">
        <f>'октябрь факт'!C15+'ноябрь факт'!C15+'декабрь оперативно '!C15</f>
        <v>4017.358</v>
      </c>
      <c r="D15" s="68">
        <f>'октябрь факт'!D15+'ноябрь факт'!D15+'декабрь оперативно '!D15</f>
        <v>0</v>
      </c>
      <c r="E15" s="68">
        <f>'октябрь факт'!E15+'ноябрь факт'!E15+'декабрь оперативно '!E15</f>
        <v>0</v>
      </c>
      <c r="F15" s="69">
        <f>'октябрь факт'!F15+'ноябрь факт'!F15+'декабрь оперативно '!F15</f>
        <v>0</v>
      </c>
    </row>
    <row r="16" spans="1:6" s="2" customFormat="1" ht="19.5" customHeight="1">
      <c r="A16" s="15" t="s">
        <v>13</v>
      </c>
      <c r="B16" s="5">
        <f t="shared" si="0"/>
        <v>4014.4460000000004</v>
      </c>
      <c r="C16" s="68">
        <f>'октябрь факт'!C16+'ноябрь факт'!C16+'декабрь оперативно '!C16</f>
        <v>4014.4460000000004</v>
      </c>
      <c r="D16" s="68">
        <f>'октябрь факт'!D16+'ноябрь факт'!D16+'декабрь оперативно '!D16</f>
        <v>0</v>
      </c>
      <c r="E16" s="68">
        <f>'октябрь факт'!E16+'ноябрь факт'!E16+'декабрь оперативно '!E16</f>
        <v>0</v>
      </c>
      <c r="F16" s="69">
        <f>'октябрь факт'!F16+'ноябрь факт'!F16+'декабрь оперативно '!F16</f>
        <v>0</v>
      </c>
    </row>
    <row r="17" spans="1:6" s="2" customFormat="1" ht="18" customHeight="1">
      <c r="A17" s="15" t="s">
        <v>10</v>
      </c>
      <c r="B17" s="5">
        <f t="shared" si="0"/>
        <v>2.912</v>
      </c>
      <c r="C17" s="68">
        <f>'октябрь факт'!C17+'ноябрь факт'!C17+'декабрь оперативно '!C17</f>
        <v>2.912</v>
      </c>
      <c r="D17" s="68">
        <f>'октябрь факт'!D17+'ноябрь факт'!D17+'декабрь оперативно '!D17</f>
        <v>0</v>
      </c>
      <c r="E17" s="68">
        <f>'октябрь факт'!E17+'ноябрь факт'!E17+'декабрь оперативно '!E17</f>
        <v>0</v>
      </c>
      <c r="F17" s="69">
        <f>'октябрь факт'!F17+'ноябрь факт'!F17+'декабрь оперативно '!F17</f>
        <v>0</v>
      </c>
    </row>
    <row r="18" spans="1:6" s="2" customFormat="1" ht="19.5" customHeight="1">
      <c r="A18" s="15" t="s">
        <v>11</v>
      </c>
      <c r="B18" s="5">
        <f t="shared" si="0"/>
        <v>2.912</v>
      </c>
      <c r="C18" s="68">
        <f>'октябрь факт'!C18+'ноябрь факт'!C18+'декабрь оперативно '!C18</f>
        <v>2.912</v>
      </c>
      <c r="D18" s="68">
        <f>'октябрь факт'!D18+'ноябрь факт'!D18+'декабрь оперативно '!D18</f>
        <v>0</v>
      </c>
      <c r="E18" s="68">
        <f>'октябрь факт'!E18+'ноябрь факт'!E18+'декабрь оперативно '!E18</f>
        <v>0</v>
      </c>
      <c r="F18" s="69">
        <f>'октябрь факт'!F18+'ноябрь факт'!F18+'декабрь оперативно '!F18</f>
        <v>0</v>
      </c>
    </row>
    <row r="19" spans="1:6" s="2" customFormat="1" ht="19.5" customHeight="1">
      <c r="A19" s="15" t="s">
        <v>12</v>
      </c>
      <c r="B19" s="5">
        <f t="shared" si="0"/>
        <v>0</v>
      </c>
      <c r="C19" s="68">
        <f>'октябрь факт'!C19+'ноябрь факт'!C19+'декабрь оперативно '!C19</f>
        <v>0</v>
      </c>
      <c r="D19" s="68">
        <f>'октябрь факт'!D19+'ноябрь факт'!D19+'декабрь оперативно '!D19</f>
        <v>0</v>
      </c>
      <c r="E19" s="68">
        <f>'октябрь факт'!E19+'ноябрь факт'!E19+'декабрь оперативно '!E19</f>
        <v>0</v>
      </c>
      <c r="F19" s="69">
        <f>'октябрь факт'!F19+'ноябрь факт'!F19+'декабрь оперативно '!F19</f>
        <v>0</v>
      </c>
    </row>
    <row r="20" spans="1:6" s="2" customFormat="1" ht="51" customHeight="1">
      <c r="A20" s="58" t="s">
        <v>37</v>
      </c>
      <c r="B20" s="5">
        <f t="shared" si="0"/>
        <v>6825.153000000001</v>
      </c>
      <c r="C20" s="68">
        <f>'октябрь факт'!C20+'ноябрь факт'!C20+'декабрь оперативно '!C20</f>
        <v>4524.025000000001</v>
      </c>
      <c r="D20" s="68">
        <f>'октябрь факт'!D20+'ноябрь факт'!D20+'декабрь оперативно '!D20</f>
        <v>1808.531</v>
      </c>
      <c r="E20" s="68">
        <f>'октябрь факт'!E20+'ноябрь факт'!E20+'декабрь оперативно '!E20</f>
        <v>302.225</v>
      </c>
      <c r="F20" s="69">
        <f>'октябрь факт'!F20+'ноябрь факт'!F20+'декабрь оперативно '!F20</f>
        <v>190.37199999999999</v>
      </c>
    </row>
    <row r="21" spans="1:6" s="2" customFormat="1" ht="21.75" customHeight="1">
      <c r="A21" s="15" t="s">
        <v>13</v>
      </c>
      <c r="B21" s="5">
        <f t="shared" si="0"/>
        <v>6771.417000000001</v>
      </c>
      <c r="C21" s="68">
        <f>'октябрь факт'!C21+'ноябрь факт'!C21+'декабрь оперативно '!C21</f>
        <v>4524.025000000001</v>
      </c>
      <c r="D21" s="68">
        <f>'октябрь факт'!D21+'ноябрь факт'!D21+'декабрь оперативно '!D21</f>
        <v>1808.531</v>
      </c>
      <c r="E21" s="68">
        <f>'октябрь факт'!E21+'ноябрь факт'!E21+'декабрь оперативно '!E21</f>
        <v>302.225</v>
      </c>
      <c r="F21" s="69">
        <f>'октябрь факт'!F21+'ноябрь факт'!F21+'декабрь оперативно '!F21</f>
        <v>136.636</v>
      </c>
    </row>
    <row r="22" spans="1:6" s="2" customFormat="1" ht="21" customHeight="1">
      <c r="A22" s="15" t="s">
        <v>10</v>
      </c>
      <c r="B22" s="5">
        <f t="shared" si="0"/>
        <v>53.736</v>
      </c>
      <c r="C22" s="68">
        <f>'октябрь факт'!C22+'ноябрь факт'!C22+'декабрь оперативно '!C22</f>
        <v>0</v>
      </c>
      <c r="D22" s="68">
        <f>'октябрь факт'!D22+'ноябрь факт'!D22+'декабрь оперативно '!D22</f>
        <v>0</v>
      </c>
      <c r="E22" s="68">
        <f>'октябрь факт'!E22+'ноябрь факт'!E22+'декабрь оперативно '!E22</f>
        <v>0</v>
      </c>
      <c r="F22" s="69">
        <f>'октябрь факт'!F22+'ноябрь факт'!F22+'декабрь оперативно '!F22</f>
        <v>53.736</v>
      </c>
    </row>
    <row r="23" spans="1:6" s="2" customFormat="1" ht="21.75" customHeight="1">
      <c r="A23" s="15" t="s">
        <v>11</v>
      </c>
      <c r="B23" s="5">
        <f t="shared" si="0"/>
        <v>53.736</v>
      </c>
      <c r="C23" s="68">
        <f>'октябрь факт'!C23+'ноябрь факт'!C23+'декабрь оперативно '!C23</f>
        <v>0</v>
      </c>
      <c r="D23" s="68">
        <f>'октябрь факт'!D23+'ноябрь факт'!D23+'декабрь оперативно '!D23</f>
        <v>0</v>
      </c>
      <c r="E23" s="68">
        <f>'октябрь факт'!E23+'ноябрь факт'!E23+'декабрь оперативно '!E23</f>
        <v>0</v>
      </c>
      <c r="F23" s="69">
        <f>'октябрь факт'!F23+'ноябрь факт'!F23+'декабрь оперативно '!F23</f>
        <v>53.736</v>
      </c>
    </row>
    <row r="24" spans="1:6" s="2" customFormat="1" ht="21" customHeight="1">
      <c r="A24" s="15" t="s">
        <v>12</v>
      </c>
      <c r="B24" s="5">
        <f t="shared" si="0"/>
        <v>0</v>
      </c>
      <c r="C24" s="68">
        <f>'октябрь факт'!C24+'ноябрь факт'!C24+'декабрь оперативно '!C24</f>
        <v>0</v>
      </c>
      <c r="D24" s="68">
        <f>'октябрь факт'!D24+'ноябрь факт'!D24+'декабрь оперативно '!D24</f>
        <v>0</v>
      </c>
      <c r="E24" s="68">
        <f>'октябрь факт'!E24+'ноябрь факт'!E24+'декабрь оперативно '!E24</f>
        <v>0</v>
      </c>
      <c r="F24" s="69">
        <f>'октябрь факт'!F24+'ноябрь факт'!F24+'декабрь оперативно '!F24</f>
        <v>0</v>
      </c>
    </row>
    <row r="25" spans="1:6" s="2" customFormat="1" ht="41.25" customHeight="1">
      <c r="A25" s="58" t="s">
        <v>7</v>
      </c>
      <c r="B25" s="5">
        <f t="shared" si="0"/>
        <v>40104.665</v>
      </c>
      <c r="C25" s="68">
        <f>'октябрь факт'!C25+'ноябрь факт'!C25+'декабрь оперативно '!C25</f>
        <v>21481.234</v>
      </c>
      <c r="D25" s="68">
        <f>'октябрь факт'!D25+'ноябрь факт'!D25+'декабрь оперативно '!D25</f>
        <v>0</v>
      </c>
      <c r="E25" s="68">
        <f>'октябрь факт'!E25+'ноябрь факт'!E25+'декабрь оперативно '!E25</f>
        <v>6697.098000000001</v>
      </c>
      <c r="F25" s="69">
        <f>'октябрь факт'!F25+'ноябрь факт'!F25+'декабрь оперативно '!F25</f>
        <v>11926.333</v>
      </c>
    </row>
    <row r="26" spans="1:6" s="2" customFormat="1" ht="19.5" customHeight="1">
      <c r="A26" s="15" t="s">
        <v>13</v>
      </c>
      <c r="B26" s="5">
        <f t="shared" si="0"/>
        <v>32022.931</v>
      </c>
      <c r="C26" s="68">
        <f>'октябрь факт'!C26+'ноябрь факт'!C26+'декабрь оперативно '!C26</f>
        <v>21481.234</v>
      </c>
      <c r="D26" s="68">
        <f>'октябрь факт'!D26+'ноябрь факт'!D26+'декабрь оперативно '!D26</f>
        <v>0</v>
      </c>
      <c r="E26" s="68">
        <f>'октябрь факт'!E26+'ноябрь факт'!E26+'декабрь оперативно '!E26</f>
        <v>6479.774</v>
      </c>
      <c r="F26" s="69">
        <f>'октябрь факт'!F26+'ноябрь факт'!F26+'декабрь оперативно '!F26</f>
        <v>4061.9230000000002</v>
      </c>
    </row>
    <row r="27" spans="1:6" s="2" customFormat="1" ht="24.75" customHeight="1">
      <c r="A27" s="15" t="s">
        <v>10</v>
      </c>
      <c r="B27" s="5">
        <f t="shared" si="0"/>
        <v>8081.7339999999995</v>
      </c>
      <c r="C27" s="68">
        <f>'октябрь факт'!C27+'ноябрь факт'!C27+'декабрь оперативно '!C27</f>
        <v>0</v>
      </c>
      <c r="D27" s="68">
        <f>'октябрь факт'!D27+'ноябрь факт'!D27+'декабрь оперативно '!D27</f>
        <v>0</v>
      </c>
      <c r="E27" s="68">
        <f>'октябрь факт'!E27+'ноябрь факт'!E27+'декабрь оперативно '!E27</f>
        <v>217.324</v>
      </c>
      <c r="F27" s="69">
        <f>'октябрь факт'!F27+'ноябрь факт'!F27+'декабрь оперативно '!F27</f>
        <v>7864.41</v>
      </c>
    </row>
    <row r="28" spans="1:6" s="2" customFormat="1" ht="25.5" customHeight="1">
      <c r="A28" s="15" t="s">
        <v>11</v>
      </c>
      <c r="B28" s="5">
        <f t="shared" si="0"/>
        <v>7726.722999999999</v>
      </c>
      <c r="C28" s="68">
        <f>'октябрь факт'!C28+'ноябрь факт'!C28+'декабрь оперативно '!C28</f>
        <v>0</v>
      </c>
      <c r="D28" s="68">
        <f>'октябрь факт'!D28+'ноябрь факт'!D28+'декабрь оперативно '!D28</f>
        <v>0</v>
      </c>
      <c r="E28" s="68">
        <f>'октябрь факт'!E28+'ноябрь факт'!E28+'декабрь оперативно '!E28</f>
        <v>217.324</v>
      </c>
      <c r="F28" s="69">
        <f>'октябрь факт'!F28+'ноябрь факт'!F28+'декабрь оперативно '!F28</f>
        <v>7509.398999999999</v>
      </c>
    </row>
    <row r="29" spans="1:6" s="2" customFormat="1" ht="20.25" customHeight="1">
      <c r="A29" s="15" t="s">
        <v>12</v>
      </c>
      <c r="B29" s="5">
        <f t="shared" si="0"/>
        <v>324.432</v>
      </c>
      <c r="C29" s="68">
        <f>'октябрь факт'!C29+'ноябрь факт'!C29+'декабрь оперативно '!C29</f>
        <v>0</v>
      </c>
      <c r="D29" s="68">
        <f>'октябрь факт'!D29+'ноябрь факт'!D29+'декабрь оперативно '!D29</f>
        <v>0</v>
      </c>
      <c r="E29" s="68">
        <f>'октябрь факт'!E29+'ноябрь факт'!E29+'декабрь оперативно '!E29</f>
        <v>0</v>
      </c>
      <c r="F29" s="69">
        <f>'октябрь факт'!F29+'ноябрь факт'!F29+'декабрь оперативно '!F29</f>
        <v>324.432</v>
      </c>
    </row>
    <row r="30" spans="1:6" s="2" customFormat="1" ht="50.25" customHeight="1">
      <c r="A30" s="58" t="s">
        <v>38</v>
      </c>
      <c r="B30" s="5">
        <f t="shared" si="0"/>
        <v>243.78</v>
      </c>
      <c r="C30" s="68">
        <f>'октябрь факт'!C30+'ноябрь факт'!C30+'декабрь оперативно '!C30</f>
        <v>0</v>
      </c>
      <c r="D30" s="68">
        <f>'октябрь факт'!D30+'ноябрь факт'!D30+'декабрь оперативно '!D30</f>
        <v>0</v>
      </c>
      <c r="E30" s="68">
        <f>'октябрь факт'!E30+'ноябрь факт'!E30+'декабрь оперативно '!E30</f>
        <v>116.03</v>
      </c>
      <c r="F30" s="69">
        <f>'октябрь факт'!F30+'ноябрь факт'!F30+'декабрь оперативно '!F30</f>
        <v>127.75</v>
      </c>
    </row>
    <row r="31" spans="1:6" s="2" customFormat="1" ht="22.5" customHeight="1">
      <c r="A31" s="15" t="s">
        <v>13</v>
      </c>
      <c r="B31" s="5">
        <f t="shared" si="0"/>
        <v>300.76800000000003</v>
      </c>
      <c r="C31" s="68">
        <f>'октябрь факт'!C31+'ноябрь факт'!C31+'декабрь оперативно '!C31</f>
        <v>0</v>
      </c>
      <c r="D31" s="68">
        <f>'октябрь факт'!D31+'ноябрь факт'!D31+'декабрь оперативно '!D31</f>
        <v>0</v>
      </c>
      <c r="E31" s="68">
        <f>'октябрь факт'!E31+'ноябрь факт'!E31+'декабрь оперативно '!E31</f>
        <v>201.4</v>
      </c>
      <c r="F31" s="69">
        <f>'октябрь факт'!F31+'ноябрь факт'!F31+'декабрь оперативно '!F31</f>
        <v>99.368</v>
      </c>
    </row>
    <row r="32" spans="1:6" s="2" customFormat="1" ht="24.75" customHeight="1">
      <c r="A32" s="15" t="s">
        <v>10</v>
      </c>
      <c r="B32" s="5">
        <f t="shared" si="0"/>
        <v>157.846</v>
      </c>
      <c r="C32" s="68">
        <f>'октябрь факт'!C32+'ноябрь факт'!C32+'декабрь оперативно '!C32</f>
        <v>0</v>
      </c>
      <c r="D32" s="68">
        <f>'октябрь факт'!D32+'ноябрь факт'!D32+'декабрь оперативно '!D32</f>
        <v>0</v>
      </c>
      <c r="E32" s="68">
        <f>'октябрь факт'!E32+'ноябрь факт'!E32+'декабрь оперативно '!E32</f>
        <v>85.37</v>
      </c>
      <c r="F32" s="69">
        <f>'октябрь факт'!F32+'ноябрь факт'!F32+'декабрь оперативно '!F32</f>
        <v>72.476</v>
      </c>
    </row>
    <row r="33" spans="1:6" s="2" customFormat="1" ht="18" customHeight="1">
      <c r="A33" s="15" t="s">
        <v>11</v>
      </c>
      <c r="B33" s="5">
        <f t="shared" si="0"/>
        <v>67.263</v>
      </c>
      <c r="C33" s="68">
        <f>'октябрь факт'!C33+'ноябрь факт'!C33+'декабрь оперативно '!C33</f>
        <v>0</v>
      </c>
      <c r="D33" s="68">
        <f>'октябрь факт'!D33+'ноябрь факт'!D33+'декабрь оперативно '!D33</f>
        <v>0</v>
      </c>
      <c r="E33" s="68">
        <f>'октябрь факт'!E33+'ноябрь факт'!E33+'декабрь оперативно '!E33</f>
        <v>0</v>
      </c>
      <c r="F33" s="69">
        <f>'октябрь факт'!F33+'ноябрь факт'!F33+'декабрь оперативно '!F33</f>
        <v>67.263</v>
      </c>
    </row>
    <row r="34" spans="1:6" s="2" customFormat="1" ht="18" customHeight="1">
      <c r="A34" s="15" t="s">
        <v>12</v>
      </c>
      <c r="B34" s="5">
        <f t="shared" si="0"/>
        <v>34.795</v>
      </c>
      <c r="C34" s="68">
        <f>'октябрь факт'!C34+'ноябрь факт'!C34+'декабрь оперативно '!C34</f>
        <v>0</v>
      </c>
      <c r="D34" s="68">
        <f>'октябрь факт'!D34+'ноябрь факт'!D34+'декабрь оперативно '!D34</f>
        <v>0</v>
      </c>
      <c r="E34" s="68">
        <f>'октябрь факт'!E34+'ноябрь факт'!E34+'декабрь оперативно '!E34</f>
        <v>0</v>
      </c>
      <c r="F34" s="69">
        <f>'октябрь факт'!F34+'ноябрь факт'!F34+'декабрь оперативно '!F34</f>
        <v>34.795</v>
      </c>
    </row>
    <row r="35" spans="1:6" s="2" customFormat="1" ht="25.5" customHeight="1">
      <c r="A35" s="58" t="s">
        <v>39</v>
      </c>
      <c r="B35" s="5">
        <f t="shared" si="0"/>
        <v>352.174</v>
      </c>
      <c r="C35" s="68">
        <f>'октябрь факт'!C35+'ноябрь факт'!C35+'декабрь оперативно '!C35</f>
        <v>0</v>
      </c>
      <c r="D35" s="68">
        <f>'октябрь факт'!D35+'ноябрь факт'!D35+'декабрь оперативно '!D35</f>
        <v>0</v>
      </c>
      <c r="E35" s="68">
        <f>'октябрь факт'!E35+'ноябрь факт'!E35+'декабрь оперативно '!E35</f>
        <v>0</v>
      </c>
      <c r="F35" s="69">
        <f>'октябрь факт'!F35+'ноябрь факт'!F35+'декабрь оперативно '!F35</f>
        <v>352.174</v>
      </c>
    </row>
    <row r="36" spans="1:6" s="2" customFormat="1" ht="23.25" customHeight="1">
      <c r="A36" s="15" t="s">
        <v>13</v>
      </c>
      <c r="B36" s="5">
        <f t="shared" si="0"/>
        <v>551.9950000000001</v>
      </c>
      <c r="C36" s="68">
        <f>'октябрь факт'!C36+'ноябрь факт'!C36+'декабрь оперативно '!C36</f>
        <v>0</v>
      </c>
      <c r="D36" s="68">
        <f>'октябрь факт'!D36+'ноябрь факт'!D36+'декабрь оперативно '!D36</f>
        <v>0</v>
      </c>
      <c r="E36" s="68">
        <f>'октябрь факт'!E36+'ноябрь факт'!E36+'декабрь оперативно '!E36</f>
        <v>0</v>
      </c>
      <c r="F36" s="69">
        <f>'октябрь факт'!F36+'ноябрь факт'!F36+'декабрь оперативно '!F36</f>
        <v>551.9950000000001</v>
      </c>
    </row>
    <row r="37" spans="1:6" s="2" customFormat="1" ht="23.25" customHeight="1">
      <c r="A37" s="15" t="s">
        <v>10</v>
      </c>
      <c r="B37" s="5">
        <f t="shared" si="0"/>
        <v>248.936</v>
      </c>
      <c r="C37" s="68">
        <f>'октябрь факт'!C37+'ноябрь факт'!C37+'декабрь оперативно '!C37</f>
        <v>0</v>
      </c>
      <c r="D37" s="68">
        <f>'октябрь факт'!D37+'ноябрь факт'!D37+'декабрь оперативно '!D37</f>
        <v>0</v>
      </c>
      <c r="E37" s="68">
        <f>'октябрь факт'!E37+'ноябрь факт'!E37+'декабрь оперативно '!E37</f>
        <v>0</v>
      </c>
      <c r="F37" s="69">
        <f>'октябрь факт'!F37+'ноябрь факт'!F37+'декабрь оперативно '!F37</f>
        <v>248.936</v>
      </c>
    </row>
    <row r="38" spans="1:6" s="2" customFormat="1" ht="23.25" customHeight="1">
      <c r="A38" s="15" t="s">
        <v>11</v>
      </c>
      <c r="B38" s="5">
        <f t="shared" si="0"/>
        <v>13.487</v>
      </c>
      <c r="C38" s="68">
        <f>'октябрь факт'!C38+'ноябрь факт'!C38+'декабрь оперативно '!C38</f>
        <v>0</v>
      </c>
      <c r="D38" s="68">
        <f>'октябрь факт'!D38+'ноябрь факт'!D38+'декабрь оперативно '!D38</f>
        <v>0</v>
      </c>
      <c r="E38" s="68">
        <f>'октябрь факт'!E38+'ноябрь факт'!E38+'декабрь оперативно '!E38</f>
        <v>0</v>
      </c>
      <c r="F38" s="69">
        <f>'октябрь факт'!F38+'ноябрь факт'!F38+'декабрь оперативно '!F38</f>
        <v>13.487</v>
      </c>
    </row>
    <row r="39" spans="1:6" s="2" customFormat="1" ht="23.25" customHeight="1">
      <c r="A39" s="15" t="s">
        <v>12</v>
      </c>
      <c r="B39" s="5">
        <f t="shared" si="0"/>
        <v>28.719</v>
      </c>
      <c r="C39" s="68">
        <f>'октябрь факт'!C39+'ноябрь факт'!C39+'декабрь оперативно '!C39</f>
        <v>0</v>
      </c>
      <c r="D39" s="68">
        <f>'октябрь факт'!D39+'ноябрь факт'!D39+'декабрь оперативно '!D39</f>
        <v>0</v>
      </c>
      <c r="E39" s="68">
        <f>'октябрь факт'!E39+'ноябрь факт'!E39+'декабрь оперативно '!E39</f>
        <v>0</v>
      </c>
      <c r="F39" s="69">
        <f>'октябрь факт'!F39+'ноябрь факт'!F39+'декабрь оперативно '!F39</f>
        <v>28.719</v>
      </c>
    </row>
    <row r="40" spans="1:6" s="2" customFormat="1" ht="42" customHeight="1">
      <c r="A40" s="58" t="s">
        <v>24</v>
      </c>
      <c r="B40" s="5">
        <f>C40+D40+E40+F40</f>
        <v>13.487</v>
      </c>
      <c r="C40" s="68">
        <f>'октябрь факт'!C40+'ноябрь факт'!C40+'декабрь оперативно '!C40</f>
        <v>0</v>
      </c>
      <c r="D40" s="68">
        <f>'октябрь факт'!D40+'ноябрь факт'!D40+'декабрь оперативно '!D40</f>
        <v>0</v>
      </c>
      <c r="E40" s="68">
        <f>'октябрь факт'!E40+'ноябрь факт'!E40+'декабрь оперативно '!E40</f>
        <v>0</v>
      </c>
      <c r="F40" s="69">
        <f>'октябрь факт'!F40+'ноябрь факт'!F40+'декабрь оперативно '!F40</f>
        <v>13.487</v>
      </c>
    </row>
    <row r="41" spans="1:6" s="2" customFormat="1" ht="19.5" customHeight="1">
      <c r="A41" s="15" t="s">
        <v>13</v>
      </c>
      <c r="B41" s="5">
        <f aca="true" t="shared" si="1" ref="B41:B89">C41+D41+E41+F41</f>
        <v>147.87900000000002</v>
      </c>
      <c r="C41" s="68">
        <f>'октябрь факт'!C41+'ноябрь факт'!C41+'декабрь оперативно '!C41</f>
        <v>49.578</v>
      </c>
      <c r="D41" s="68">
        <f>'октябрь факт'!D41+'ноябрь факт'!D41+'декабрь оперативно '!D41</f>
        <v>0</v>
      </c>
      <c r="E41" s="68">
        <f>'октябрь факт'!E41+'ноябрь факт'!E41+'декабрь оперативно '!E41</f>
        <v>98.301</v>
      </c>
      <c r="F41" s="69">
        <f>'октябрь факт'!F41+'ноябрь факт'!F41+'декабрь оперативно '!F41</f>
        <v>0</v>
      </c>
    </row>
    <row r="42" spans="1:6" s="2" customFormat="1" ht="19.5" customHeight="1">
      <c r="A42" s="15" t="s">
        <v>10</v>
      </c>
      <c r="B42" s="5">
        <f t="shared" si="1"/>
        <v>147.87900000000002</v>
      </c>
      <c r="C42" s="68">
        <f>'октябрь факт'!C42+'ноябрь факт'!C42+'декабрь оперативно '!C42</f>
        <v>49.578</v>
      </c>
      <c r="D42" s="68">
        <f>'октябрь факт'!D42+'ноябрь факт'!D42+'декабрь оперативно '!D42</f>
        <v>0</v>
      </c>
      <c r="E42" s="68">
        <f>'октябрь факт'!E42+'ноябрь факт'!E42+'декабрь оперативно '!E42</f>
        <v>98.301</v>
      </c>
      <c r="F42" s="69">
        <f>'октябрь факт'!F42+'ноябрь факт'!F42+'декабрь оперативно '!F42</f>
        <v>0</v>
      </c>
    </row>
    <row r="43" spans="1:6" s="2" customFormat="1" ht="19.5" customHeight="1">
      <c r="A43" s="15" t="s">
        <v>11</v>
      </c>
      <c r="B43" s="5">
        <f t="shared" si="1"/>
        <v>0</v>
      </c>
      <c r="C43" s="68">
        <f>'октябрь факт'!C43+'ноябрь факт'!C43+'декабрь оперативно '!C43</f>
        <v>0</v>
      </c>
      <c r="D43" s="68">
        <f>'октябрь факт'!D43+'ноябрь факт'!D43+'декабрь оперативно '!D43</f>
        <v>0</v>
      </c>
      <c r="E43" s="68">
        <f>'октябрь факт'!E43+'ноябрь факт'!E43+'декабрь оперативно '!E43</f>
        <v>0</v>
      </c>
      <c r="F43" s="69">
        <f>'октябрь факт'!F43+'ноябрь факт'!F43+'декабрь оперативно '!F43</f>
        <v>0</v>
      </c>
    </row>
    <row r="44" spans="1:6" s="2" customFormat="1" ht="19.5" customHeight="1">
      <c r="A44" s="15" t="s">
        <v>12</v>
      </c>
      <c r="B44" s="5">
        <f t="shared" si="1"/>
        <v>0</v>
      </c>
      <c r="C44" s="68">
        <f>'октябрь факт'!C44+'ноябрь факт'!C44+'декабрь оперативно '!C44</f>
        <v>0</v>
      </c>
      <c r="D44" s="68">
        <f>'октябрь факт'!D44+'ноябрь факт'!D44+'декабрь оперативно '!D44</f>
        <v>0</v>
      </c>
      <c r="E44" s="68">
        <f>'октябрь факт'!E44+'ноябрь факт'!E44+'декабрь оперативно '!E44</f>
        <v>0</v>
      </c>
      <c r="F44" s="69">
        <f>'октябрь факт'!F44+'ноябрь факт'!F44+'декабрь оперативно '!F44</f>
        <v>0</v>
      </c>
    </row>
    <row r="45" spans="1:6" s="2" customFormat="1" ht="24.75" customHeight="1">
      <c r="A45" s="27" t="s">
        <v>26</v>
      </c>
      <c r="B45" s="5">
        <f t="shared" si="1"/>
        <v>949.412</v>
      </c>
      <c r="C45" s="68">
        <f>'октябрь факт'!C45+'ноябрь факт'!C45+'декабрь оперативно '!C45</f>
        <v>0</v>
      </c>
      <c r="D45" s="68">
        <f>'октябрь факт'!D45+'ноябрь факт'!D45+'декабрь оперативно '!D45</f>
        <v>0</v>
      </c>
      <c r="E45" s="68">
        <f>'октябрь факт'!E45+'ноябрь факт'!E45+'декабрь оперативно '!E45</f>
        <v>681.74</v>
      </c>
      <c r="F45" s="69">
        <f>'октябрь факт'!F45+'ноябрь факт'!F45+'декабрь оперативно '!F45</f>
        <v>267.672</v>
      </c>
    </row>
    <row r="46" spans="1:6" s="2" customFormat="1" ht="24.75" customHeight="1">
      <c r="A46" s="15" t="s">
        <v>13</v>
      </c>
      <c r="B46" s="5">
        <f t="shared" si="1"/>
        <v>1386.625</v>
      </c>
      <c r="C46" s="68">
        <f>'октябрь факт'!C46+'ноябрь факт'!C46+'декабрь оперативно '!C46</f>
        <v>0</v>
      </c>
      <c r="D46" s="68">
        <f>'октябрь факт'!D46+'ноябрь факт'!D46+'декабрь оперативно '!D46</f>
        <v>0</v>
      </c>
      <c r="E46" s="68">
        <f>'октябрь факт'!E46+'ноябрь факт'!E46+'декабрь оперативно '!E46</f>
        <v>1044.799</v>
      </c>
      <c r="F46" s="69">
        <f>'октябрь факт'!F46+'ноябрь факт'!F46+'декабрь оперативно '!F46</f>
        <v>341.826</v>
      </c>
    </row>
    <row r="47" spans="1:6" s="2" customFormat="1" ht="24.75" customHeight="1">
      <c r="A47" s="15" t="s">
        <v>10</v>
      </c>
      <c r="B47" s="5">
        <f t="shared" si="1"/>
        <v>437.213</v>
      </c>
      <c r="C47" s="68">
        <f>'октябрь факт'!C47+'ноябрь факт'!C47+'декабрь оперативно '!C47</f>
        <v>0</v>
      </c>
      <c r="D47" s="68">
        <f>'октябрь факт'!D47+'ноябрь факт'!D47+'декабрь оперативно '!D47</f>
        <v>0</v>
      </c>
      <c r="E47" s="68">
        <f>'октябрь факт'!E47+'ноябрь факт'!E47+'декабрь оперативно '!E47</f>
        <v>363.059</v>
      </c>
      <c r="F47" s="69">
        <f>'октябрь факт'!F47+'ноябрь факт'!F47+'декабрь оперативно '!F47</f>
        <v>74.154</v>
      </c>
    </row>
    <row r="48" spans="1:6" s="2" customFormat="1" ht="24.75" customHeight="1">
      <c r="A48" s="15" t="s">
        <v>11</v>
      </c>
      <c r="B48" s="5">
        <f t="shared" si="1"/>
        <v>0</v>
      </c>
      <c r="C48" s="68">
        <f>'октябрь факт'!C48+'ноябрь факт'!C48+'декабрь оперативно '!C48</f>
        <v>0</v>
      </c>
      <c r="D48" s="68">
        <f>'октябрь факт'!D48+'ноябрь факт'!D48+'декабрь оперативно '!D48</f>
        <v>0</v>
      </c>
      <c r="E48" s="68">
        <f>'октябрь факт'!E48+'ноябрь факт'!E48+'декабрь оперативно '!E48</f>
        <v>0</v>
      </c>
      <c r="F48" s="69">
        <f>'октябрь факт'!F48+'ноябрь факт'!F48+'декабрь оперативно '!F48</f>
        <v>0</v>
      </c>
    </row>
    <row r="49" spans="1:6" s="2" customFormat="1" ht="24.75" customHeight="1">
      <c r="A49" s="15" t="s">
        <v>12</v>
      </c>
      <c r="B49" s="5">
        <f t="shared" si="1"/>
        <v>0</v>
      </c>
      <c r="C49" s="68">
        <f>'октябрь факт'!C49+'ноябрь факт'!C49+'декабрь оперативно '!C49</f>
        <v>0</v>
      </c>
      <c r="D49" s="68">
        <f>'октябрь факт'!D49+'ноябрь факт'!D49+'декабрь оперативно '!D49</f>
        <v>0</v>
      </c>
      <c r="E49" s="68">
        <f>'октябрь факт'!E49+'ноябрь факт'!E49+'декабрь оперативно '!E49</f>
        <v>0</v>
      </c>
      <c r="F49" s="69">
        <f>'октябрь факт'!F49+'ноябрь факт'!F49+'декабрь оперативно '!F49</f>
        <v>0</v>
      </c>
    </row>
    <row r="50" spans="1:6" s="2" customFormat="1" ht="24.75" customHeight="1">
      <c r="A50" s="27" t="s">
        <v>4</v>
      </c>
      <c r="B50" s="5">
        <f t="shared" si="1"/>
        <v>1649.2489999999998</v>
      </c>
      <c r="C50" s="68">
        <f>'октябрь факт'!C50+'ноябрь факт'!C50+'декабрь оперативно '!C50</f>
        <v>1649.2489999999998</v>
      </c>
      <c r="D50" s="68">
        <f>'октябрь факт'!D50+'ноябрь факт'!D50+'декабрь оперативно '!D50</f>
        <v>0</v>
      </c>
      <c r="E50" s="68">
        <f>'октябрь факт'!E50+'ноябрь факт'!E50+'декабрь оперативно '!E50</f>
        <v>0</v>
      </c>
      <c r="F50" s="69">
        <f>'октябрь факт'!F50+'ноябрь факт'!F50+'декабрь оперативно '!F50</f>
        <v>0</v>
      </c>
    </row>
    <row r="51" spans="1:6" s="2" customFormat="1" ht="24.75" customHeight="1">
      <c r="A51" s="15" t="s">
        <v>13</v>
      </c>
      <c r="B51" s="5">
        <f t="shared" si="1"/>
        <v>2655.307</v>
      </c>
      <c r="C51" s="68">
        <f>'октябрь факт'!C51+'ноябрь факт'!C51+'декабрь оперативно '!C51</f>
        <v>2655.307</v>
      </c>
      <c r="D51" s="68">
        <f>'октябрь факт'!D51+'ноябрь факт'!D51+'декабрь оперативно '!D51</f>
        <v>0</v>
      </c>
      <c r="E51" s="68">
        <f>'октябрь факт'!E51+'ноябрь факт'!E51+'декабрь оперативно '!E51</f>
        <v>0</v>
      </c>
      <c r="F51" s="69">
        <f>'октябрь факт'!F51+'ноябрь факт'!F51+'декабрь оперативно '!F51</f>
        <v>0</v>
      </c>
    </row>
    <row r="52" spans="1:6" s="2" customFormat="1" ht="24.75" customHeight="1">
      <c r="A52" s="15" t="s">
        <v>10</v>
      </c>
      <c r="B52" s="5">
        <f t="shared" si="1"/>
        <v>1006.058</v>
      </c>
      <c r="C52" s="68">
        <f>'октябрь факт'!C52+'ноябрь факт'!C52+'декабрь оперативно '!C52</f>
        <v>1006.058</v>
      </c>
      <c r="D52" s="68">
        <f>'октябрь факт'!D52+'ноябрь факт'!D52+'декабрь оперативно '!D52</f>
        <v>0</v>
      </c>
      <c r="E52" s="68">
        <f>'октябрь факт'!E52+'ноябрь факт'!E52+'декабрь оперативно '!E52</f>
        <v>0</v>
      </c>
      <c r="F52" s="69">
        <f>'октябрь факт'!F52+'ноябрь факт'!F52+'декабрь оперативно '!F52</f>
        <v>0</v>
      </c>
    </row>
    <row r="53" spans="1:6" s="2" customFormat="1" ht="24.75" customHeight="1">
      <c r="A53" s="15" t="s">
        <v>11</v>
      </c>
      <c r="B53" s="5">
        <f t="shared" si="1"/>
        <v>0</v>
      </c>
      <c r="C53" s="68">
        <f>'октябрь факт'!C53+'ноябрь факт'!C53+'декабрь оперативно '!C53</f>
        <v>0</v>
      </c>
      <c r="D53" s="68">
        <f>'октябрь факт'!D53+'ноябрь факт'!D53+'декабрь оперативно '!D53</f>
        <v>0</v>
      </c>
      <c r="E53" s="68">
        <f>'октябрь факт'!E53+'ноябрь факт'!E53+'декабрь оперативно '!E53</f>
        <v>0</v>
      </c>
      <c r="F53" s="69">
        <f>'октябрь факт'!F53+'ноябрь факт'!F53+'декабрь оперативно '!F53</f>
        <v>0</v>
      </c>
    </row>
    <row r="54" spans="1:6" s="2" customFormat="1" ht="24.75" customHeight="1">
      <c r="A54" s="15" t="s">
        <v>12</v>
      </c>
      <c r="B54" s="5">
        <f t="shared" si="1"/>
        <v>0</v>
      </c>
      <c r="C54" s="68">
        <f>'октябрь факт'!C54+'ноябрь факт'!C54+'декабрь оперативно '!C54</f>
        <v>0</v>
      </c>
      <c r="D54" s="68">
        <f>'октябрь факт'!D54+'ноябрь факт'!D54+'декабрь оперативно '!D54</f>
        <v>0</v>
      </c>
      <c r="E54" s="68">
        <f>'октябрь факт'!E54+'ноябрь факт'!E54+'декабрь оперативно '!E54</f>
        <v>0</v>
      </c>
      <c r="F54" s="69">
        <f>'октябрь факт'!F54+'ноябрь факт'!F54+'декабрь оперативно '!F54</f>
        <v>0</v>
      </c>
    </row>
    <row r="55" spans="1:6" s="2" customFormat="1" ht="50.25" customHeight="1">
      <c r="A55" s="58" t="s">
        <v>40</v>
      </c>
      <c r="B55" s="5">
        <f t="shared" si="1"/>
        <v>3579.6979999999994</v>
      </c>
      <c r="C55" s="68">
        <f>'октябрь факт'!C55+'ноябрь факт'!C55+'декабрь оперативно '!C55</f>
        <v>1736.78</v>
      </c>
      <c r="D55" s="68">
        <f>'октябрь факт'!D55+'ноябрь факт'!D55+'декабрь оперативно '!D55</f>
        <v>0</v>
      </c>
      <c r="E55" s="68">
        <f>'октябрь факт'!E55+'ноябрь факт'!E55+'декабрь оперативно '!E55</f>
        <v>859.0709999999999</v>
      </c>
      <c r="F55" s="69">
        <f>'октябрь факт'!F55+'ноябрь факт'!F55+'декабрь оперативно '!F55</f>
        <v>983.847</v>
      </c>
    </row>
    <row r="56" spans="1:6" s="2" customFormat="1" ht="26.25" customHeight="1">
      <c r="A56" s="15" t="s">
        <v>13</v>
      </c>
      <c r="B56" s="5">
        <f t="shared" si="1"/>
        <v>4705.769</v>
      </c>
      <c r="C56" s="68">
        <f>'октябрь факт'!C56+'ноябрь факт'!C56+'декабрь оперативно '!C56</f>
        <v>2591.7799999999997</v>
      </c>
      <c r="D56" s="68">
        <f>'октябрь факт'!D56+'ноябрь факт'!D56+'декабрь оперативно '!D56</f>
        <v>0</v>
      </c>
      <c r="E56" s="68">
        <f>'октябрь факт'!E56+'ноябрь факт'!E56+'декабрь оперативно '!E56</f>
        <v>1291.0449999999998</v>
      </c>
      <c r="F56" s="69">
        <f>'октябрь факт'!F56+'ноябрь факт'!F56+'декабрь оперативно '!F56</f>
        <v>822.9440000000001</v>
      </c>
    </row>
    <row r="57" spans="1:6" s="2" customFormat="1" ht="26.25" customHeight="1">
      <c r="A57" s="15" t="s">
        <v>10</v>
      </c>
      <c r="B57" s="5">
        <f t="shared" si="1"/>
        <v>2106.419</v>
      </c>
      <c r="C57" s="68">
        <f>'октябрь факт'!C57+'ноябрь факт'!C57+'декабрь оперативно '!C57</f>
        <v>855</v>
      </c>
      <c r="D57" s="68">
        <f>'октябрь факт'!D57+'ноябрь факт'!D57+'декабрь оперативно '!D57</f>
        <v>0</v>
      </c>
      <c r="E57" s="68">
        <f>'октябрь факт'!E57+'ноябрь факт'!E57+'декабрь оперативно '!E57</f>
        <v>431.974</v>
      </c>
      <c r="F57" s="69">
        <f>'октябрь факт'!F57+'ноябрь факт'!F57+'декабрь оперативно '!F57</f>
        <v>819.4449999999999</v>
      </c>
    </row>
    <row r="58" spans="1:6" s="2" customFormat="1" ht="26.25" customHeight="1">
      <c r="A58" s="15" t="s">
        <v>11</v>
      </c>
      <c r="B58" s="5">
        <f t="shared" si="1"/>
        <v>967.778</v>
      </c>
      <c r="C58" s="68">
        <f>'октябрь факт'!C58+'ноябрь факт'!C58+'декабрь оперативно '!C58</f>
        <v>0</v>
      </c>
      <c r="D58" s="68">
        <f>'октябрь факт'!D58+'ноябрь факт'!D58+'декабрь оперативно '!D58</f>
        <v>0</v>
      </c>
      <c r="E58" s="68">
        <f>'октябрь факт'!E58+'ноябрь факт'!E58+'декабрь оперативно '!E58</f>
        <v>0</v>
      </c>
      <c r="F58" s="69">
        <f>'октябрь факт'!F58+'ноябрь факт'!F58+'декабрь оперативно '!F58</f>
        <v>967.778</v>
      </c>
    </row>
    <row r="59" spans="1:6" s="2" customFormat="1" ht="26.25" customHeight="1">
      <c r="A59" s="15" t="s">
        <v>12</v>
      </c>
      <c r="B59" s="5">
        <f t="shared" si="1"/>
        <v>403.574</v>
      </c>
      <c r="C59" s="68">
        <f>'октябрь факт'!C59+'ноябрь факт'!C59+'декабрь оперативно '!C59</f>
        <v>0</v>
      </c>
      <c r="D59" s="68">
        <f>'октябрь факт'!D59+'ноябрь факт'!D59+'декабрь оперативно '!D59</f>
        <v>0</v>
      </c>
      <c r="E59" s="68">
        <f>'октябрь факт'!E59+'ноябрь факт'!E59+'декабрь оперативно '!E59</f>
        <v>0</v>
      </c>
      <c r="F59" s="69">
        <f>'октябрь факт'!F59+'ноябрь факт'!F59+'декабрь оперативно '!F59</f>
        <v>403.574</v>
      </c>
    </row>
    <row r="60" spans="1:6" s="2" customFormat="1" ht="24.75" customHeight="1">
      <c r="A60" s="58" t="s">
        <v>25</v>
      </c>
      <c r="B60" s="5">
        <f t="shared" si="1"/>
        <v>4472.831</v>
      </c>
      <c r="C60" s="68">
        <f>'октябрь факт'!C60+'ноябрь факт'!C60+'декабрь оперативно '!C60</f>
        <v>4396.058</v>
      </c>
      <c r="D60" s="68">
        <f>'октябрь факт'!D60+'ноябрь факт'!D60+'декабрь оперативно '!D60</f>
        <v>0</v>
      </c>
      <c r="E60" s="68">
        <f>'октябрь факт'!E60+'ноябрь факт'!E60+'декабрь оперативно '!E60</f>
        <v>0</v>
      </c>
      <c r="F60" s="69">
        <f>'октябрь факт'!F60+'ноябрь факт'!F60+'декабрь оперативно '!F60</f>
        <v>76.773</v>
      </c>
    </row>
    <row r="61" spans="1:6" s="2" customFormat="1" ht="21.75" customHeight="1">
      <c r="A61" s="15" t="s">
        <v>13</v>
      </c>
      <c r="B61" s="5">
        <f t="shared" si="1"/>
        <v>6722.164</v>
      </c>
      <c r="C61" s="68">
        <f>'октябрь факт'!C61+'ноябрь факт'!C61+'декабрь оперативно '!C61</f>
        <v>6681.058</v>
      </c>
      <c r="D61" s="68">
        <f>'октябрь факт'!D61+'ноябрь факт'!D61+'декабрь оперативно '!D61</f>
        <v>0</v>
      </c>
      <c r="E61" s="68">
        <f>'октябрь факт'!E61+'ноябрь факт'!E61+'декабрь оперативно '!E61</f>
        <v>0</v>
      </c>
      <c r="F61" s="69">
        <f>'октябрь факт'!F61+'ноябрь факт'!F61+'декабрь оперативно '!F61</f>
        <v>41.106</v>
      </c>
    </row>
    <row r="62" spans="1:6" s="2" customFormat="1" ht="16.5" customHeight="1">
      <c r="A62" s="15" t="s">
        <v>10</v>
      </c>
      <c r="B62" s="5">
        <f t="shared" si="1"/>
        <v>2295</v>
      </c>
      <c r="C62" s="68">
        <f>'октябрь факт'!C62+'ноябрь факт'!C62+'декабрь оперативно '!C62</f>
        <v>2285</v>
      </c>
      <c r="D62" s="68">
        <f>'октябрь факт'!D62+'ноябрь факт'!D62+'декабрь оперативно '!D62</f>
        <v>0</v>
      </c>
      <c r="E62" s="68">
        <f>'октябрь факт'!E62+'ноябрь факт'!E62+'декабрь оперативно '!E62</f>
        <v>0</v>
      </c>
      <c r="F62" s="69">
        <f>'октябрь факт'!F62+'ноябрь факт'!F62+'декабрь оперативно '!F62</f>
        <v>10</v>
      </c>
    </row>
    <row r="63" spans="1:6" s="2" customFormat="1" ht="18" customHeight="1">
      <c r="A63" s="15" t="s">
        <v>11</v>
      </c>
      <c r="B63" s="5">
        <f t="shared" si="1"/>
        <v>0</v>
      </c>
      <c r="C63" s="68">
        <f>'октябрь факт'!C63+'ноябрь факт'!C63+'декабрь оперативно '!C63</f>
        <v>0</v>
      </c>
      <c r="D63" s="68">
        <f>'октябрь факт'!D63+'ноябрь факт'!D63+'декабрь оперативно '!D63</f>
        <v>0</v>
      </c>
      <c r="E63" s="68">
        <f>'октябрь факт'!E63+'ноябрь факт'!E63+'декабрь оперативно '!E63</f>
        <v>0</v>
      </c>
      <c r="F63" s="69">
        <f>'октябрь факт'!F63+'ноябрь факт'!F63+'декабрь оперативно '!F63</f>
        <v>0</v>
      </c>
    </row>
    <row r="64" spans="1:6" s="2" customFormat="1" ht="18" customHeight="1">
      <c r="A64" s="15" t="s">
        <v>12</v>
      </c>
      <c r="B64" s="5">
        <f t="shared" si="1"/>
        <v>0</v>
      </c>
      <c r="C64" s="68">
        <f>'октябрь факт'!C64+'ноябрь факт'!C64+'декабрь оперативно '!C64</f>
        <v>0</v>
      </c>
      <c r="D64" s="68">
        <f>'октябрь факт'!D64+'ноябрь факт'!D64+'декабрь оперативно '!D64</f>
        <v>0</v>
      </c>
      <c r="E64" s="68">
        <f>'октябрь факт'!E64+'ноябрь факт'!E64+'декабрь оперативно '!E64</f>
        <v>0</v>
      </c>
      <c r="F64" s="69">
        <f>'октябрь факт'!F64+'ноябрь факт'!F64+'декабрь оперативно '!F64</f>
        <v>0</v>
      </c>
    </row>
    <row r="65" spans="1:6" s="2" customFormat="1" ht="24.75" customHeight="1">
      <c r="A65" s="58" t="s">
        <v>41</v>
      </c>
      <c r="B65" s="5">
        <f t="shared" si="1"/>
        <v>54.166</v>
      </c>
      <c r="C65" s="68">
        <f>'октябрь факт'!C65+'ноябрь факт'!C65+'декабрь оперативно '!C65</f>
        <v>0</v>
      </c>
      <c r="D65" s="68">
        <f>'октябрь факт'!D65+'ноябрь факт'!D65+'декабрь оперативно '!D65</f>
        <v>0</v>
      </c>
      <c r="E65" s="68">
        <f>'октябрь факт'!E65+'ноябрь факт'!E65+'декабрь оперативно '!E65</f>
        <v>54.166</v>
      </c>
      <c r="F65" s="69">
        <f>'октябрь факт'!F65+'ноябрь факт'!F65+'декабрь оперативно '!F65</f>
        <v>0</v>
      </c>
    </row>
    <row r="66" spans="1:6" s="2" customFormat="1" ht="21.75" customHeight="1">
      <c r="A66" s="15" t="s">
        <v>13</v>
      </c>
      <c r="B66" s="5">
        <f t="shared" si="1"/>
        <v>81.166</v>
      </c>
      <c r="C66" s="68">
        <f>'октябрь факт'!C66+'ноябрь факт'!C66+'декабрь оперативно '!C66</f>
        <v>0</v>
      </c>
      <c r="D66" s="68">
        <f>'октябрь факт'!D66+'ноябрь факт'!D66+'декабрь оперативно '!D66</f>
        <v>0</v>
      </c>
      <c r="E66" s="68">
        <f>'октябрь факт'!E66+'ноябрь факт'!E66+'декабрь оперативно '!E66</f>
        <v>81.166</v>
      </c>
      <c r="F66" s="69">
        <f>'октябрь факт'!F66+'ноябрь факт'!F66+'декабрь оперативно '!F66</f>
        <v>0</v>
      </c>
    </row>
    <row r="67" spans="1:6" s="2" customFormat="1" ht="18" customHeight="1">
      <c r="A67" s="15" t="s">
        <v>10</v>
      </c>
      <c r="B67" s="5">
        <f t="shared" si="1"/>
        <v>27</v>
      </c>
      <c r="C67" s="68">
        <f>'октябрь факт'!C67+'ноябрь факт'!C67+'декабрь оперативно '!C67</f>
        <v>0</v>
      </c>
      <c r="D67" s="68">
        <f>'октябрь факт'!D67+'ноябрь факт'!D67+'декабрь оперативно '!D67</f>
        <v>0</v>
      </c>
      <c r="E67" s="68">
        <f>'октябрь факт'!E67+'ноябрь факт'!E67+'декабрь оперативно '!E67</f>
        <v>27</v>
      </c>
      <c r="F67" s="69">
        <f>'октябрь факт'!F67+'ноябрь факт'!F67+'декабрь оперативно '!F67</f>
        <v>0</v>
      </c>
    </row>
    <row r="68" spans="1:6" s="2" customFormat="1" ht="19.5" customHeight="1">
      <c r="A68" s="15" t="s">
        <v>11</v>
      </c>
      <c r="B68" s="5">
        <f t="shared" si="1"/>
        <v>0</v>
      </c>
      <c r="C68" s="68">
        <f>'октябрь факт'!C68+'ноябрь факт'!C68+'декабрь оперативно '!C68</f>
        <v>0</v>
      </c>
      <c r="D68" s="68">
        <f>'октябрь факт'!D68+'ноябрь факт'!D68+'декабрь оперативно '!D68</f>
        <v>0</v>
      </c>
      <c r="E68" s="68">
        <f>'октябрь факт'!E68+'ноябрь факт'!E68+'декабрь оперативно '!E68</f>
        <v>0</v>
      </c>
      <c r="F68" s="69">
        <f>'октябрь факт'!F68+'ноябрь факт'!F68+'декабрь оперативно '!F68</f>
        <v>0</v>
      </c>
    </row>
    <row r="69" spans="1:6" s="2" customFormat="1" ht="19.5" customHeight="1">
      <c r="A69" s="15" t="s">
        <v>12</v>
      </c>
      <c r="B69" s="5">
        <f t="shared" si="1"/>
        <v>0</v>
      </c>
      <c r="C69" s="68">
        <f>'октябрь факт'!C69+'ноябрь факт'!C69+'декабрь оперативно '!C69</f>
        <v>0</v>
      </c>
      <c r="D69" s="68">
        <f>'октябрь факт'!D69+'ноябрь факт'!D69+'декабрь оперативно '!D69</f>
        <v>0</v>
      </c>
      <c r="E69" s="68">
        <f>'октябрь факт'!E69+'ноябрь факт'!E69+'декабрь оперативно '!E69</f>
        <v>0</v>
      </c>
      <c r="F69" s="69">
        <f>'октябрь факт'!F69+'ноябрь факт'!F69+'декабрь оперативно '!F69</f>
        <v>0</v>
      </c>
    </row>
    <row r="70" spans="1:6" s="6" customFormat="1" ht="36.75" customHeight="1">
      <c r="A70" s="58" t="s">
        <v>23</v>
      </c>
      <c r="B70" s="5">
        <f t="shared" si="1"/>
        <v>211.06900000000002</v>
      </c>
      <c r="C70" s="68">
        <f>'октябрь факт'!C70+'ноябрь факт'!C70+'декабрь оперативно '!C70</f>
        <v>0</v>
      </c>
      <c r="D70" s="68">
        <f>'октябрь факт'!D70+'ноябрь факт'!D70+'декабрь оперативно '!D70</f>
        <v>0</v>
      </c>
      <c r="E70" s="68">
        <f>'октябрь факт'!E70+'ноябрь факт'!E70+'декабрь оперативно '!E70</f>
        <v>0</v>
      </c>
      <c r="F70" s="69">
        <f>'октябрь факт'!F70+'ноябрь факт'!F70+'декабрь оперативно '!F70</f>
        <v>211.06900000000002</v>
      </c>
    </row>
    <row r="71" spans="1:6" s="3" customFormat="1" ht="18.75">
      <c r="A71" s="15" t="s">
        <v>13</v>
      </c>
      <c r="B71" s="5">
        <f t="shared" si="1"/>
        <v>119.904</v>
      </c>
      <c r="C71" s="68">
        <f>'октябрь факт'!C71+'ноябрь факт'!C71+'декабрь оперативно '!C71</f>
        <v>0</v>
      </c>
      <c r="D71" s="68">
        <f>'октябрь факт'!D71+'ноябрь факт'!D71+'декабрь оперативно '!D71</f>
        <v>0</v>
      </c>
      <c r="E71" s="68">
        <f>'октябрь факт'!E71+'ноябрь факт'!E71+'декабрь оперативно '!E71</f>
        <v>0</v>
      </c>
      <c r="F71" s="69">
        <f>'октябрь факт'!F71+'ноябрь факт'!F71+'декабрь оперативно '!F71</f>
        <v>119.904</v>
      </c>
    </row>
    <row r="72" spans="1:6" s="3" customFormat="1" ht="18.75">
      <c r="A72" s="15" t="s">
        <v>10</v>
      </c>
      <c r="B72" s="5">
        <f t="shared" si="1"/>
        <v>208.55599999999998</v>
      </c>
      <c r="C72" s="68">
        <f>'октябрь факт'!C72+'ноябрь факт'!C72+'декабрь оперативно '!C72</f>
        <v>0</v>
      </c>
      <c r="D72" s="68">
        <f>'октябрь факт'!D72+'ноябрь факт'!D72+'декабрь оперативно '!D72</f>
        <v>0</v>
      </c>
      <c r="E72" s="68">
        <f>'октябрь факт'!E72+'ноябрь факт'!E72+'декабрь оперативно '!E72</f>
        <v>0</v>
      </c>
      <c r="F72" s="69">
        <f>'октябрь факт'!F72+'ноябрь факт'!F72+'декабрь оперативно '!F72</f>
        <v>208.55599999999998</v>
      </c>
    </row>
    <row r="73" spans="1:6" s="33" customFormat="1" ht="23.25" customHeight="1">
      <c r="A73" s="15" t="s">
        <v>11</v>
      </c>
      <c r="B73" s="5">
        <f t="shared" si="1"/>
        <v>265.767</v>
      </c>
      <c r="C73" s="68">
        <f>'октябрь факт'!C73+'ноябрь факт'!C73+'декабрь оперативно '!C73</f>
        <v>0</v>
      </c>
      <c r="D73" s="68">
        <f>'октябрь факт'!D73+'ноябрь факт'!D73+'декабрь оперативно '!D73</f>
        <v>0</v>
      </c>
      <c r="E73" s="68">
        <f>'октябрь факт'!E73+'ноябрь факт'!E73+'декабрь оперативно '!E73</f>
        <v>0</v>
      </c>
      <c r="F73" s="69">
        <f>'октябрь факт'!F73+'ноябрь факт'!F73+'декабрь оперативно '!F73</f>
        <v>265.767</v>
      </c>
    </row>
    <row r="74" spans="1:6" s="33" customFormat="1" ht="23.25" customHeight="1">
      <c r="A74" s="15" t="s">
        <v>12</v>
      </c>
      <c r="B74" s="5">
        <f t="shared" si="1"/>
        <v>77.271</v>
      </c>
      <c r="C74" s="68">
        <f>'октябрь факт'!C74+'ноябрь факт'!C74+'декабрь оперативно '!C74</f>
        <v>0</v>
      </c>
      <c r="D74" s="68">
        <f>'октябрь факт'!D74+'ноябрь факт'!D74+'декабрь оперативно '!D74</f>
        <v>0</v>
      </c>
      <c r="E74" s="68">
        <f>'октябрь факт'!E74+'ноябрь факт'!E74+'декабрь оперативно '!E74</f>
        <v>0</v>
      </c>
      <c r="F74" s="69">
        <f>'октябрь факт'!F74+'ноябрь факт'!F74+'декабрь оперативно '!F74</f>
        <v>77.271</v>
      </c>
    </row>
    <row r="75" spans="1:6" s="33" customFormat="1" ht="43.5" customHeight="1">
      <c r="A75" s="58" t="s">
        <v>42</v>
      </c>
      <c r="B75" s="5">
        <f t="shared" si="1"/>
        <v>538.167</v>
      </c>
      <c r="C75" s="68">
        <f>'октябрь факт'!C75+'ноябрь факт'!C75+'декабрь оперативно '!C75</f>
        <v>0</v>
      </c>
      <c r="D75" s="68">
        <f>'октябрь факт'!D75+'ноябрь факт'!D75+'декабрь оперативно '!D75</f>
        <v>0</v>
      </c>
      <c r="E75" s="68">
        <f>'октябрь факт'!E75+'ноябрь факт'!E75+'декабрь оперативно '!E75</f>
        <v>46.370000000000005</v>
      </c>
      <c r="F75" s="69">
        <f>'октябрь факт'!F75+'ноябрь факт'!F75+'декабрь оперативно '!F75</f>
        <v>491.797</v>
      </c>
    </row>
    <row r="76" spans="1:6" s="33" customFormat="1" ht="23.25" customHeight="1">
      <c r="A76" s="15" t="s">
        <v>13</v>
      </c>
      <c r="B76" s="5">
        <f t="shared" si="1"/>
        <v>417.16499999999996</v>
      </c>
      <c r="C76" s="68">
        <f>'октябрь факт'!C76+'ноябрь факт'!C76+'декабрь оперативно '!C76</f>
        <v>0</v>
      </c>
      <c r="D76" s="68">
        <f>'октябрь факт'!D76+'ноябрь факт'!D76+'декабрь оперативно '!D76</f>
        <v>0</v>
      </c>
      <c r="E76" s="68">
        <f>'октябрь факт'!E76+'ноябрь факт'!E76+'декабрь оперативно '!E76</f>
        <v>67.804</v>
      </c>
      <c r="F76" s="69">
        <f>'октябрь факт'!F76+'ноябрь факт'!F76+'декабрь оперативно '!F76</f>
        <v>349.361</v>
      </c>
    </row>
    <row r="77" spans="1:6" s="33" customFormat="1" ht="23.25" customHeight="1">
      <c r="A77" s="15" t="s">
        <v>10</v>
      </c>
      <c r="B77" s="5">
        <f t="shared" si="1"/>
        <v>453.73500000000007</v>
      </c>
      <c r="C77" s="68">
        <f>'октябрь факт'!C77+'ноябрь факт'!C77+'декабрь оперативно '!C77</f>
        <v>0</v>
      </c>
      <c r="D77" s="68">
        <f>'октябрь факт'!D77+'ноябрь факт'!D77+'декабрь оперативно '!D77</f>
        <v>0</v>
      </c>
      <c r="E77" s="68">
        <f>'октябрь факт'!E77+'ноябрь факт'!E77+'декабрь оперативно '!E77</f>
        <v>21.434</v>
      </c>
      <c r="F77" s="69">
        <f>'октябрь факт'!F77+'ноябрь факт'!F77+'декабрь оперативно '!F77</f>
        <v>432.30100000000004</v>
      </c>
    </row>
    <row r="78" spans="1:6" s="33" customFormat="1" ht="23.25" customHeight="1">
      <c r="A78" s="15" t="s">
        <v>11</v>
      </c>
      <c r="B78" s="5">
        <f t="shared" si="1"/>
        <v>183.615</v>
      </c>
      <c r="C78" s="68">
        <f>'октябрь факт'!C78+'ноябрь факт'!C78+'декабрь оперативно '!C78</f>
        <v>0</v>
      </c>
      <c r="D78" s="68">
        <f>'октябрь факт'!D78+'ноябрь факт'!D78+'декабрь оперативно '!D78</f>
        <v>0</v>
      </c>
      <c r="E78" s="68">
        <f>'октябрь факт'!E78+'ноябрь факт'!E78+'декабрь оперативно '!E78</f>
        <v>0</v>
      </c>
      <c r="F78" s="69">
        <f>'октябрь факт'!F78+'ноябрь факт'!F78+'декабрь оперативно '!F78</f>
        <v>183.615</v>
      </c>
    </row>
    <row r="79" spans="1:6" s="33" customFormat="1" ht="23.25" customHeight="1">
      <c r="A79" s="15" t="s">
        <v>12</v>
      </c>
      <c r="B79" s="5">
        <f t="shared" si="1"/>
        <v>379.17600000000004</v>
      </c>
      <c r="C79" s="68">
        <f>'октябрь факт'!C79+'ноябрь факт'!C79+'декабрь оперативно '!C79</f>
        <v>0</v>
      </c>
      <c r="D79" s="68">
        <f>'октябрь факт'!D79+'ноябрь факт'!D79+'декабрь оперативно '!D79</f>
        <v>0</v>
      </c>
      <c r="E79" s="68">
        <f>'октябрь факт'!E79+'ноябрь факт'!E79+'декабрь оперативно '!E79</f>
        <v>0</v>
      </c>
      <c r="F79" s="69">
        <f>'октябрь факт'!F79+'ноябрь факт'!F79+'декабрь оперативно '!F79</f>
        <v>379.17600000000004</v>
      </c>
    </row>
    <row r="80" spans="1:6" s="33" customFormat="1" ht="23.25" customHeight="1">
      <c r="A80" s="58" t="s">
        <v>21</v>
      </c>
      <c r="B80" s="5">
        <f t="shared" si="1"/>
        <v>1126.193</v>
      </c>
      <c r="C80" s="68">
        <f>'октябрь факт'!C80+'ноябрь факт'!C80+'декабрь оперативно '!C80</f>
        <v>0</v>
      </c>
      <c r="D80" s="68">
        <f>'октябрь факт'!D80+'ноябрь факт'!D80+'декабрь оперативно '!D80</f>
        <v>0</v>
      </c>
      <c r="E80" s="68">
        <f>'октябрь факт'!E80+'ноябрь факт'!E80+'декабрь оперативно '!E80</f>
        <v>942.578</v>
      </c>
      <c r="F80" s="69">
        <f>'октябрь факт'!F80+'ноябрь факт'!F80+'декабрь оперативно '!F80</f>
        <v>183.615</v>
      </c>
    </row>
    <row r="81" spans="1:6" s="33" customFormat="1" ht="25.5" customHeight="1">
      <c r="A81" s="15" t="s">
        <v>13</v>
      </c>
      <c r="B81" s="5">
        <f t="shared" si="1"/>
        <v>1305.246</v>
      </c>
      <c r="C81" s="68">
        <f>'октябрь факт'!C81+'ноябрь факт'!C81+'декабрь оперативно '!C81</f>
        <v>0</v>
      </c>
      <c r="D81" s="68">
        <f>'октябрь факт'!D81+'ноябрь факт'!D81+'декабрь оперативно '!D81</f>
        <v>0</v>
      </c>
      <c r="E81" s="68">
        <f>'октябрь факт'!E81+'ноябрь факт'!E81+'декабрь оперативно '!E81</f>
        <v>1305.246</v>
      </c>
      <c r="F81" s="69">
        <f>'октябрь факт'!F81+'ноябрь факт'!F81+'декабрь оперативно '!F81</f>
        <v>0</v>
      </c>
    </row>
    <row r="82" spans="1:6" s="33" customFormat="1" ht="25.5" customHeight="1">
      <c r="A82" s="15" t="s">
        <v>10</v>
      </c>
      <c r="B82" s="5">
        <f t="shared" si="1"/>
        <v>362.668</v>
      </c>
      <c r="C82" s="68">
        <f>'октябрь факт'!C82+'ноябрь факт'!C82+'декабрь оперативно '!C82</f>
        <v>0</v>
      </c>
      <c r="D82" s="68">
        <f>'октябрь факт'!D82+'ноябрь факт'!D82+'декабрь оперативно '!D82</f>
        <v>0</v>
      </c>
      <c r="E82" s="68">
        <f>'октябрь факт'!E82+'ноябрь факт'!E82+'декабрь оперативно '!E82</f>
        <v>362.668</v>
      </c>
      <c r="F82" s="69">
        <f>'октябрь факт'!F82+'ноябрь факт'!F82+'декабрь оперативно '!F82</f>
        <v>0</v>
      </c>
    </row>
    <row r="83" spans="1:6" s="3" customFormat="1" ht="18.75">
      <c r="A83" s="15" t="s">
        <v>11</v>
      </c>
      <c r="B83" s="5">
        <f t="shared" si="1"/>
        <v>0</v>
      </c>
      <c r="C83" s="68">
        <f>'октябрь факт'!C83+'ноябрь факт'!C83+'декабрь оперативно '!C83</f>
        <v>0</v>
      </c>
      <c r="D83" s="68">
        <f>'октябрь факт'!D83+'ноябрь факт'!D83+'декабрь оперативно '!D83</f>
        <v>0</v>
      </c>
      <c r="E83" s="68">
        <f>'октябрь факт'!E83+'ноябрь факт'!E83+'декабрь оперативно '!E83</f>
        <v>0</v>
      </c>
      <c r="F83" s="69">
        <f>'октябрь факт'!F83+'ноябрь факт'!F83+'декабрь оперативно '!F83</f>
        <v>0</v>
      </c>
    </row>
    <row r="84" spans="1:6" s="3" customFormat="1" ht="18.75">
      <c r="A84" s="15" t="s">
        <v>12</v>
      </c>
      <c r="B84" s="5">
        <f t="shared" si="1"/>
        <v>0</v>
      </c>
      <c r="C84" s="68">
        <f>'октябрь факт'!C84+'ноябрь факт'!C84+'декабрь оперативно '!C84</f>
        <v>0</v>
      </c>
      <c r="D84" s="68">
        <f>'октябрь факт'!D84+'ноябрь факт'!D84+'декабрь оперативно '!D84</f>
        <v>0</v>
      </c>
      <c r="E84" s="68">
        <f>'октябрь факт'!E84+'ноябрь факт'!E84+'декабрь оперативно '!E84</f>
        <v>0</v>
      </c>
      <c r="F84" s="69">
        <f>'октябрь факт'!F84+'ноябрь факт'!F84+'декабрь оперативно '!F84</f>
        <v>0</v>
      </c>
    </row>
    <row r="85" spans="1:6" s="3" customFormat="1" ht="36">
      <c r="A85" s="58" t="s">
        <v>22</v>
      </c>
      <c r="B85" s="5">
        <f t="shared" si="1"/>
        <v>1058.651</v>
      </c>
      <c r="C85" s="68">
        <f>'октябрь факт'!C85+'ноябрь факт'!C85+'декабрь оперативно '!C85</f>
        <v>0</v>
      </c>
      <c r="D85" s="68">
        <f>'октябрь факт'!D85+'ноябрь факт'!D85+'декабрь оперативно '!D85</f>
        <v>0</v>
      </c>
      <c r="E85" s="68">
        <f>'октябрь факт'!E85+'ноябрь факт'!E85+'декабрь оперативно '!E85</f>
        <v>1058.651</v>
      </c>
      <c r="F85" s="69">
        <f>'октябрь факт'!F85+'ноябрь факт'!F85+'декабрь оперативно '!F85</f>
        <v>0</v>
      </c>
    </row>
    <row r="86" spans="1:6" s="3" customFormat="1" ht="18.75">
      <c r="A86" s="15" t="s">
        <v>13</v>
      </c>
      <c r="B86" s="5">
        <f t="shared" si="1"/>
        <v>1765.1170000000002</v>
      </c>
      <c r="C86" s="68">
        <f>'октябрь факт'!C86+'ноябрь факт'!C86+'декабрь оперативно '!C86</f>
        <v>0</v>
      </c>
      <c r="D86" s="68">
        <f>'октябрь факт'!D86+'ноябрь факт'!D86+'декабрь оперативно '!D86</f>
        <v>0</v>
      </c>
      <c r="E86" s="68">
        <f>'октябрь факт'!E86+'ноябрь факт'!E86+'декабрь оперативно '!E86</f>
        <v>1765.1170000000002</v>
      </c>
      <c r="F86" s="69">
        <f>'октябрь факт'!F86+'ноябрь факт'!F86+'декабрь оперативно '!F86</f>
        <v>0</v>
      </c>
    </row>
    <row r="87" spans="1:6" s="3" customFormat="1" ht="18.75">
      <c r="A87" s="15" t="s">
        <v>10</v>
      </c>
      <c r="B87" s="5">
        <f t="shared" si="1"/>
        <v>706.466</v>
      </c>
      <c r="C87" s="68">
        <f>'октябрь факт'!C87+'ноябрь факт'!C87+'декабрь оперативно '!C87</f>
        <v>0</v>
      </c>
      <c r="D87" s="68">
        <f>'октябрь факт'!D87+'ноябрь факт'!D87+'декабрь оперативно '!D87</f>
        <v>0</v>
      </c>
      <c r="E87" s="68">
        <f>'октябрь факт'!E87+'ноябрь факт'!E87+'декабрь оперативно '!E87</f>
        <v>706.466</v>
      </c>
      <c r="F87" s="69">
        <f>'октябрь факт'!F87+'ноябрь факт'!F87+'декабрь оперативно '!F87</f>
        <v>0</v>
      </c>
    </row>
    <row r="88" spans="1:6" s="3" customFormat="1" ht="18.75">
      <c r="A88" s="15" t="s">
        <v>11</v>
      </c>
      <c r="B88" s="5">
        <f t="shared" si="1"/>
        <v>0</v>
      </c>
      <c r="C88" s="68">
        <f>'октябрь факт'!C88+'ноябрь факт'!C88+'декабрь оперативно '!C88</f>
        <v>0</v>
      </c>
      <c r="D88" s="68">
        <f>'октябрь факт'!D88+'ноябрь факт'!D88+'декабрь оперативно '!D88</f>
        <v>0</v>
      </c>
      <c r="E88" s="68">
        <f>'октябрь факт'!E88+'ноябрь факт'!E88+'декабрь оперативно '!E88</f>
        <v>0</v>
      </c>
      <c r="F88" s="69">
        <f>'октябрь факт'!F88+'ноябрь факт'!F88+'декабрь оперативно '!F88</f>
        <v>0</v>
      </c>
    </row>
    <row r="89" spans="1:6" s="3" customFormat="1" ht="18.75">
      <c r="A89" s="15" t="s">
        <v>12</v>
      </c>
      <c r="B89" s="5">
        <f t="shared" si="1"/>
        <v>0</v>
      </c>
      <c r="C89" s="68">
        <f>'октябрь факт'!C89+'ноябрь факт'!C89+'декабрь оперативно '!C89</f>
        <v>0</v>
      </c>
      <c r="D89" s="68">
        <f>'октябрь факт'!D89+'ноябрь факт'!D89+'декабрь оперативно '!D89</f>
        <v>0</v>
      </c>
      <c r="E89" s="68">
        <f>'октябрь факт'!E89+'ноябрь факт'!E89+'декабрь оперативно '!E89</f>
        <v>0</v>
      </c>
      <c r="F89" s="69">
        <f>'октябрь факт'!F89+'ноябрь факт'!F89+'декабрь оперативно '!F89</f>
        <v>0</v>
      </c>
    </row>
    <row r="90" spans="1:6" s="3" customFormat="1" ht="18">
      <c r="A90" s="58" t="s">
        <v>49</v>
      </c>
      <c r="B90" s="5">
        <f>C90+D90+E90+F90</f>
        <v>0</v>
      </c>
      <c r="C90" s="68">
        <f>'октябрь факт'!C90+'ноябрь факт'!C90+'декабрь оперативно '!C90</f>
        <v>0</v>
      </c>
      <c r="D90" s="68">
        <f>'октябрь факт'!D90+'ноябрь факт'!D90+'декабрь оперативно '!D90</f>
        <v>0</v>
      </c>
      <c r="E90" s="68">
        <f>'октябрь факт'!E90+'ноябрь факт'!E90+'декабрь оперативно '!E90</f>
        <v>0</v>
      </c>
      <c r="F90" s="69">
        <f>'октябрь факт'!F90+'ноябрь факт'!F90+'декабрь оперативно '!F90</f>
        <v>0</v>
      </c>
    </row>
    <row r="91" spans="1:6" s="3" customFormat="1" ht="18.75">
      <c r="A91" s="15" t="s">
        <v>13</v>
      </c>
      <c r="B91" s="5">
        <f>C91+D91+E91+F91</f>
        <v>0</v>
      </c>
      <c r="C91" s="68">
        <f>'октябрь факт'!C91+'ноябрь факт'!C91+'декабрь оперативно '!C91</f>
        <v>0</v>
      </c>
      <c r="D91" s="68">
        <f>'октябрь факт'!D91+'ноябрь факт'!D91+'декабрь оперативно '!D91</f>
        <v>0</v>
      </c>
      <c r="E91" s="68">
        <f>'октябрь факт'!E91+'ноябрь факт'!E91+'декабрь оперативно '!E91</f>
        <v>0</v>
      </c>
      <c r="F91" s="69">
        <f>'октябрь факт'!F91+'ноябрь факт'!F91+'декабрь оперативно '!F91</f>
        <v>0</v>
      </c>
    </row>
    <row r="92" spans="1:6" s="3" customFormat="1" ht="18.75">
      <c r="A92" s="15" t="s">
        <v>10</v>
      </c>
      <c r="B92" s="5">
        <f>C92+D92+E92+F92</f>
        <v>0</v>
      </c>
      <c r="C92" s="68">
        <f>'октябрь факт'!C92+'ноябрь факт'!C92+'декабрь оперативно '!C92</f>
        <v>0</v>
      </c>
      <c r="D92" s="68">
        <f>'октябрь факт'!D92+'ноябрь факт'!D92+'декабрь оперативно '!D92</f>
        <v>0</v>
      </c>
      <c r="E92" s="68">
        <f>'октябрь факт'!E92+'ноябрь факт'!E92+'декабрь оперативно '!E92</f>
        <v>0</v>
      </c>
      <c r="F92" s="69">
        <f>'октябрь факт'!F92+'ноябрь факт'!F92+'декабрь оперативно '!F92</f>
        <v>0</v>
      </c>
    </row>
    <row r="93" spans="1:6" s="3" customFormat="1" ht="18.75">
      <c r="A93" s="15" t="s">
        <v>11</v>
      </c>
      <c r="B93" s="5">
        <f>C93+D93+E93+F93</f>
        <v>0</v>
      </c>
      <c r="C93" s="68">
        <f>'октябрь факт'!C93+'ноябрь факт'!C93+'декабрь оперативно '!C93</f>
        <v>0</v>
      </c>
      <c r="D93" s="68">
        <f>'октябрь факт'!D93+'ноябрь факт'!D93+'декабрь оперативно '!D93</f>
        <v>0</v>
      </c>
      <c r="E93" s="68">
        <f>'октябрь факт'!E93+'ноябрь факт'!E93+'декабрь оперативно '!E93</f>
        <v>0</v>
      </c>
      <c r="F93" s="69">
        <f>'октябрь факт'!F93+'ноябрь факт'!F93+'декабрь оперативно '!F93</f>
        <v>0</v>
      </c>
    </row>
    <row r="94" spans="1:6" s="3" customFormat="1" ht="18.75">
      <c r="A94" s="15" t="s">
        <v>12</v>
      </c>
      <c r="B94" s="5">
        <f>C94+D94+E94+F94</f>
        <v>0</v>
      </c>
      <c r="C94" s="68">
        <f>'октябрь факт'!C94+'ноябрь факт'!C94+'декабрь оперативно '!C94</f>
        <v>0</v>
      </c>
      <c r="D94" s="68">
        <f>'октябрь факт'!D94+'ноябрь факт'!D94+'декабрь оперативно '!D94</f>
        <v>0</v>
      </c>
      <c r="E94" s="68">
        <f>'октябрь факт'!E94+'ноябрь факт'!E94+'декабрь оперативно '!E94</f>
        <v>0</v>
      </c>
      <c r="F94" s="69">
        <f>'октябрь факт'!F94+'ноябрь факт'!F94+'декабрь оперативно '!F94</f>
        <v>0</v>
      </c>
    </row>
    <row r="95" spans="1:6" s="3" customFormat="1" ht="18">
      <c r="A95" s="58" t="s">
        <v>70</v>
      </c>
      <c r="B95" s="5">
        <f aca="true" t="shared" si="2" ref="B95:B114">C95+D95+E95+F95</f>
        <v>321.932</v>
      </c>
      <c r="C95" s="68">
        <f>'октябрь факт'!C95+'ноябрь факт'!C95+'декабрь оперативно '!C95</f>
        <v>0</v>
      </c>
      <c r="D95" s="68">
        <f>'октябрь факт'!D95+'ноябрь факт'!D95+'декабрь оперативно '!D95</f>
        <v>0</v>
      </c>
      <c r="E95" s="68">
        <f>'октябрь факт'!E95+'ноябрь факт'!E95+'декабрь оперативно '!E95</f>
        <v>321.932</v>
      </c>
      <c r="F95" s="69">
        <f>'октябрь факт'!F95+'ноябрь факт'!F95+'декабрь оперативно '!F95</f>
        <v>0</v>
      </c>
    </row>
    <row r="96" spans="1:6" s="3" customFormat="1" ht="18.75">
      <c r="A96" s="15" t="s">
        <v>13</v>
      </c>
      <c r="B96" s="5">
        <f t="shared" si="2"/>
        <v>304.265</v>
      </c>
      <c r="C96" s="68">
        <f>'октябрь факт'!C96+'ноябрь факт'!C96+'декабрь оперативно '!C96</f>
        <v>0</v>
      </c>
      <c r="D96" s="68">
        <f>'октябрь факт'!D96+'ноябрь факт'!D96+'декабрь оперативно '!D96</f>
        <v>0</v>
      </c>
      <c r="E96" s="68">
        <f>'октябрь факт'!E96+'ноябрь факт'!E96+'декабрь оперативно '!E96</f>
        <v>304.265</v>
      </c>
      <c r="F96" s="69">
        <f>'октябрь факт'!F96+'ноябрь факт'!F96+'декабрь оперативно '!F96</f>
        <v>0</v>
      </c>
    </row>
    <row r="97" spans="1:6" s="3" customFormat="1" ht="18.75">
      <c r="A97" s="15" t="s">
        <v>10</v>
      </c>
      <c r="B97" s="5">
        <f t="shared" si="2"/>
        <v>147.667</v>
      </c>
      <c r="C97" s="68">
        <f>'октябрь факт'!C97+'ноябрь факт'!C97+'декабрь оперативно '!C97</f>
        <v>0</v>
      </c>
      <c r="D97" s="68">
        <f>'октябрь факт'!D97+'ноябрь факт'!D97+'декабрь оперативно '!D97</f>
        <v>0</v>
      </c>
      <c r="E97" s="68">
        <f>'октябрь факт'!E97+'ноябрь факт'!E97+'декабрь оперативно '!E97</f>
        <v>147.667</v>
      </c>
      <c r="F97" s="69">
        <f>'октябрь факт'!F97+'ноябрь факт'!F97+'декабрь оперативно '!F97</f>
        <v>0</v>
      </c>
    </row>
    <row r="98" spans="1:6" s="3" customFormat="1" ht="18.75">
      <c r="A98" s="15" t="s">
        <v>11</v>
      </c>
      <c r="B98" s="5">
        <f t="shared" si="2"/>
        <v>82.667</v>
      </c>
      <c r="C98" s="68">
        <f>'октябрь факт'!C98+'ноябрь факт'!C98+'декабрь оперативно '!C98</f>
        <v>0</v>
      </c>
      <c r="D98" s="68">
        <f>'октябрь факт'!D98+'ноябрь факт'!D98+'декабрь оперативно '!D98</f>
        <v>0</v>
      </c>
      <c r="E98" s="68">
        <f>'октябрь факт'!E98+'ноябрь факт'!E98+'декабрь оперативно '!E98</f>
        <v>82.667</v>
      </c>
      <c r="F98" s="69">
        <f>'октябрь факт'!F98+'ноябрь факт'!F98+'декабрь оперативно '!F98</f>
        <v>0</v>
      </c>
    </row>
    <row r="99" spans="1:6" s="3" customFormat="1" ht="25.5" customHeight="1">
      <c r="A99" s="15" t="s">
        <v>12</v>
      </c>
      <c r="B99" s="5">
        <f t="shared" si="2"/>
        <v>0</v>
      </c>
      <c r="C99" s="68">
        <f>'октябрь факт'!C99+'ноябрь факт'!C99+'декабрь оперативно '!C99</f>
        <v>0</v>
      </c>
      <c r="D99" s="68">
        <f>'октябрь факт'!D99+'ноябрь факт'!D99+'декабрь оперативно '!D99</f>
        <v>0</v>
      </c>
      <c r="E99" s="68">
        <f>'октябрь факт'!E99+'ноябрь факт'!E99+'декабрь оперативно '!E99</f>
        <v>0</v>
      </c>
      <c r="F99" s="69">
        <f>'октябрь факт'!F99+'ноябрь факт'!F99+'декабрь оперативно '!F99</f>
        <v>0</v>
      </c>
    </row>
    <row r="100" spans="1:6" s="3" customFormat="1" ht="18">
      <c r="A100" s="58" t="s">
        <v>8</v>
      </c>
      <c r="B100" s="5">
        <f t="shared" si="2"/>
        <v>3649.756</v>
      </c>
      <c r="C100" s="68">
        <f>'октябрь факт'!C100+'ноябрь факт'!C100+'декабрь оперативно '!C100</f>
        <v>0</v>
      </c>
      <c r="D100" s="68">
        <f>'октябрь факт'!D100+'ноябрь факт'!D100+'декабрь оперативно '!D100</f>
        <v>0</v>
      </c>
      <c r="E100" s="68">
        <f>'октябрь факт'!E100+'ноябрь факт'!E100+'декабрь оперативно '!E100</f>
        <v>1873.344</v>
      </c>
      <c r="F100" s="69">
        <f>'октябрь факт'!F100+'ноябрь факт'!F100+'декабрь оперативно '!F100</f>
        <v>1776.4119999999998</v>
      </c>
    </row>
    <row r="101" spans="1:6" s="3" customFormat="1" ht="18.75">
      <c r="A101" s="15" t="s">
        <v>13</v>
      </c>
      <c r="B101" s="5">
        <f t="shared" si="2"/>
        <v>3851.57</v>
      </c>
      <c r="C101" s="68">
        <f>'октябрь факт'!C101+'ноябрь факт'!C101+'декабрь оперативно '!C101</f>
        <v>0</v>
      </c>
      <c r="D101" s="68">
        <f>'октябрь факт'!D101+'ноябрь факт'!D101+'декабрь оперативно '!D101</f>
        <v>0</v>
      </c>
      <c r="E101" s="68">
        <f>'октябрь факт'!E101+'ноябрь факт'!E101+'декабрь оперативно '!E101</f>
        <v>2598.6730000000002</v>
      </c>
      <c r="F101" s="69">
        <f>'октябрь факт'!F101+'ноябрь факт'!F101+'декабрь оперативно '!F101</f>
        <v>1252.897</v>
      </c>
    </row>
    <row r="102" spans="1:6" s="3" customFormat="1" ht="18.75">
      <c r="A102" s="15" t="s">
        <v>10</v>
      </c>
      <c r="B102" s="5">
        <f t="shared" si="2"/>
        <v>2856.009</v>
      </c>
      <c r="C102" s="68">
        <f>'октябрь факт'!C102+'ноябрь факт'!C102+'декабрь оперативно '!C102</f>
        <v>0</v>
      </c>
      <c r="D102" s="68">
        <f>'октябрь факт'!D102+'ноябрь факт'!D102+'декабрь оперативно '!D102</f>
        <v>0</v>
      </c>
      <c r="E102" s="68">
        <f>'октябрь факт'!E102+'ноябрь факт'!E102+'декабрь оперативно '!E102</f>
        <v>1301.382</v>
      </c>
      <c r="F102" s="69">
        <f>'октябрь факт'!F102+'ноябрь факт'!F102+'декабрь оперативно '!F102</f>
        <v>1554.6269999999997</v>
      </c>
    </row>
    <row r="103" spans="1:6" s="3" customFormat="1" ht="18.75">
      <c r="A103" s="15" t="s">
        <v>11</v>
      </c>
      <c r="B103" s="5">
        <f t="shared" si="2"/>
        <v>2086.255</v>
      </c>
      <c r="C103" s="68">
        <f>'октябрь факт'!C103+'ноябрь факт'!C103+'декабрь оперативно '!C103</f>
        <v>0</v>
      </c>
      <c r="D103" s="68">
        <f>'октябрь факт'!D103+'ноябрь факт'!D103+'декабрь оперативно '!D103</f>
        <v>0</v>
      </c>
      <c r="E103" s="68">
        <f>'октябрь факт'!E103+'ноябрь факт'!E103+'декабрь оперативно '!E103</f>
        <v>541.95</v>
      </c>
      <c r="F103" s="69">
        <f>'октябрь факт'!F103+'ноябрь факт'!F103+'декабрь оперативно '!F103</f>
        <v>1544.305</v>
      </c>
    </row>
    <row r="104" spans="1:6" s="3" customFormat="1" ht="18.75">
      <c r="A104" s="15" t="s">
        <v>12</v>
      </c>
      <c r="B104" s="5">
        <f t="shared" si="2"/>
        <v>969.31</v>
      </c>
      <c r="C104" s="68">
        <f>'октябрь факт'!C104+'ноябрь факт'!C104+'декабрь оперативно '!C104</f>
        <v>0</v>
      </c>
      <c r="D104" s="68">
        <f>'октябрь факт'!D104+'ноябрь факт'!D104+'декабрь оперативно '!D104</f>
        <v>0</v>
      </c>
      <c r="E104" s="68">
        <f>'октябрь факт'!E104+'ноябрь факт'!E104+'декабрь оперативно '!E104</f>
        <v>197.63799999999998</v>
      </c>
      <c r="F104" s="69">
        <f>'октябрь факт'!F104+'ноябрь факт'!F104+'декабрь оперативно '!F104</f>
        <v>771.672</v>
      </c>
    </row>
    <row r="105" spans="1:6" s="3" customFormat="1" ht="18">
      <c r="A105" s="58" t="s">
        <v>5</v>
      </c>
      <c r="B105" s="5" t="e">
        <f t="shared" si="2"/>
        <v>#REF!</v>
      </c>
      <c r="C105" s="68" t="e">
        <f>'октябрь факт'!C105+'ноябрь факт'!#REF!+'декабрь оперативно '!C105</f>
        <v>#REF!</v>
      </c>
      <c r="D105" s="68" t="e">
        <f>'октябрь факт'!D105+'ноябрь факт'!#REF!+'декабрь оперативно '!D105</f>
        <v>#REF!</v>
      </c>
      <c r="E105" s="68" t="e">
        <f>'октябрь факт'!E105+'ноябрь факт'!#REF!+'декабрь оперативно '!E105</f>
        <v>#REF!</v>
      </c>
      <c r="F105" s="69" t="e">
        <f>'октябрь факт'!F105+'ноябрь факт'!#REF!+'декабрь оперативно '!F105</f>
        <v>#REF!</v>
      </c>
    </row>
    <row r="106" spans="1:6" s="3" customFormat="1" ht="18.75">
      <c r="A106" s="15" t="s">
        <v>13</v>
      </c>
      <c r="B106" s="5">
        <f t="shared" si="2"/>
        <v>9610.069</v>
      </c>
      <c r="C106" s="68">
        <f>'октябрь факт'!C106+'ноябрь факт'!C105+'декабрь оперативно '!C106</f>
        <v>1083.13</v>
      </c>
      <c r="D106" s="68">
        <f>'октябрь факт'!D106+'ноябрь факт'!D105+'декабрь оперативно '!D106</f>
        <v>0</v>
      </c>
      <c r="E106" s="68">
        <f>'октябрь факт'!E106+'ноябрь факт'!E105+'декабрь оперативно '!E106</f>
        <v>6187.217000000001</v>
      </c>
      <c r="F106" s="69">
        <f>'октябрь факт'!F106+'ноябрь факт'!F105+'декабрь оперативно '!F106</f>
        <v>2339.7219999999998</v>
      </c>
    </row>
    <row r="107" spans="1:6" s="3" customFormat="1" ht="18.75">
      <c r="A107" s="15" t="s">
        <v>10</v>
      </c>
      <c r="B107" s="5">
        <f t="shared" si="2"/>
        <v>6262.416</v>
      </c>
      <c r="C107" s="68">
        <f>'октябрь факт'!C107+'ноябрь факт'!C106+'декабрь оперативно '!C107</f>
        <v>757.767</v>
      </c>
      <c r="D107" s="68">
        <f>'октябрь факт'!D107+'ноябрь факт'!D106+'декабрь оперативно '!D107</f>
        <v>0</v>
      </c>
      <c r="E107" s="68">
        <f>'октябрь факт'!E107+'ноябрь факт'!E106+'декабрь оперативно '!E107</f>
        <v>4176.697</v>
      </c>
      <c r="F107" s="69">
        <f>'октябрь факт'!F107+'ноябрь факт'!F106+'декабрь оперативно '!F107</f>
        <v>1327.952</v>
      </c>
    </row>
    <row r="108" spans="1:6" s="3" customFormat="1" ht="18.75">
      <c r="A108" s="15" t="s">
        <v>11</v>
      </c>
      <c r="B108" s="5">
        <f t="shared" si="2"/>
        <v>3670.686</v>
      </c>
      <c r="C108" s="68">
        <f>'октябрь факт'!C108+'ноябрь факт'!C107+'декабрь оперативно '!C108</f>
        <v>0</v>
      </c>
      <c r="D108" s="68">
        <f>'октябрь факт'!D108+'ноябрь факт'!D107+'декабрь оперативно '!D108</f>
        <v>0</v>
      </c>
      <c r="E108" s="68">
        <f>'октябрь факт'!E108+'ноябрь факт'!E107+'декабрь оперативно '!E108</f>
        <v>1766.886</v>
      </c>
      <c r="F108" s="69">
        <f>'октябрь факт'!F108+'ноябрь факт'!F107+'декабрь оперативно '!F108</f>
        <v>1903.8000000000002</v>
      </c>
    </row>
    <row r="109" spans="1:6" ht="18.75">
      <c r="A109" s="15" t="s">
        <v>12</v>
      </c>
      <c r="B109" s="5">
        <f t="shared" si="2"/>
        <v>2325.299</v>
      </c>
      <c r="C109" s="68">
        <f>'октябрь факт'!C109+'ноябрь факт'!C108+'декабрь оперативно '!C109</f>
        <v>0</v>
      </c>
      <c r="D109" s="68">
        <f>'октябрь факт'!D109+'ноябрь факт'!D108+'декабрь оперативно '!D109</f>
        <v>0</v>
      </c>
      <c r="E109" s="68">
        <f>'октябрь факт'!E109+'ноябрь факт'!E108+'декабрь оперативно '!E109</f>
        <v>1056.908</v>
      </c>
      <c r="F109" s="69">
        <f>'октябрь факт'!F109+'ноябрь факт'!F108+'декабрь оперативно '!F109</f>
        <v>1268.391</v>
      </c>
    </row>
    <row r="110" spans="1:6" ht="36">
      <c r="A110" s="58" t="s">
        <v>43</v>
      </c>
      <c r="B110" s="5">
        <f t="shared" si="2"/>
        <v>6346.764999999999</v>
      </c>
      <c r="C110" s="68">
        <f>'октябрь факт'!C110+'ноябрь факт'!C109+'декабрь оперативно '!C110</f>
        <v>0</v>
      </c>
      <c r="D110" s="68">
        <f>'октябрь факт'!D110+'ноябрь факт'!D109+'декабрь оперативно '!D110</f>
        <v>0</v>
      </c>
      <c r="E110" s="68">
        <f>'октябрь факт'!E110+'ноябрь факт'!E109+'декабрь оперативно '!E110</f>
        <v>1618.841</v>
      </c>
      <c r="F110" s="69">
        <f>'октябрь факт'!F110+'ноябрь факт'!F109+'декабрь оперативно '!F110</f>
        <v>4727.924</v>
      </c>
    </row>
    <row r="111" spans="1:6" ht="18.75">
      <c r="A111" s="15" t="s">
        <v>13</v>
      </c>
      <c r="B111" s="5" t="e">
        <f t="shared" si="2"/>
        <v>#REF!</v>
      </c>
      <c r="C111" s="68">
        <f>'октябрь факт'!C111+'ноябрь факт'!C111+'декабрь оперативно '!C111</f>
        <v>0</v>
      </c>
      <c r="D111" s="68">
        <f>'октябрь факт'!D111+'ноябрь факт'!D111+'декабрь оперативно '!D111</f>
        <v>0</v>
      </c>
      <c r="E111" s="68" t="e">
        <f>'октябрь факт'!E111+'ноябрь факт'!#REF!+'декабрь оперативно '!E111</f>
        <v>#REF!</v>
      </c>
      <c r="F111" s="69" t="e">
        <f>'октябрь факт'!F111+'ноябрь факт'!#REF!+'декабрь оперативно '!F111</f>
        <v>#REF!</v>
      </c>
    </row>
    <row r="112" spans="1:6" ht="18.75">
      <c r="A112" s="15" t="s">
        <v>10</v>
      </c>
      <c r="B112" s="5">
        <f t="shared" si="2"/>
        <v>13060.038999999999</v>
      </c>
      <c r="C112" s="68">
        <f>'октябрь факт'!C112+'ноябрь факт'!C112+'декабрь оперативно '!C112</f>
        <v>0</v>
      </c>
      <c r="D112" s="68">
        <f>'октябрь факт'!D112+'ноябрь факт'!D112+'декабрь оперативно '!D112</f>
        <v>0</v>
      </c>
      <c r="E112" s="68">
        <f>'октябрь факт'!E112+'ноябрь факт'!E110+'декабрь оперативно '!E112</f>
        <v>2950.01</v>
      </c>
      <c r="F112" s="69">
        <f>'октябрь факт'!F112+'ноябрь факт'!F110+'декабрь оперативно '!F112</f>
        <v>10110.028999999999</v>
      </c>
    </row>
    <row r="113" spans="1:6" ht="18.75">
      <c r="A113" s="15" t="s">
        <v>11</v>
      </c>
      <c r="B113" s="5">
        <f t="shared" si="2"/>
        <v>6636.895</v>
      </c>
      <c r="C113" s="68">
        <f>'октябрь факт'!C113+'ноябрь факт'!C113+'декабрь оперативно '!C113</f>
        <v>0</v>
      </c>
      <c r="D113" s="68">
        <f>'октябрь факт'!D113+'ноябрь факт'!D113+'декабрь оперативно '!D113</f>
        <v>0</v>
      </c>
      <c r="E113" s="68">
        <f>'октябрь факт'!E113+'ноябрь факт'!E111+'декабрь оперативно '!E113</f>
        <v>1403.824</v>
      </c>
      <c r="F113" s="69">
        <f>'октябрь факт'!F113+'ноябрь факт'!F111+'декабрь оперативно '!F113</f>
        <v>5233.071</v>
      </c>
    </row>
    <row r="114" spans="1:6" ht="19.5" thickBot="1">
      <c r="A114" s="16" t="s">
        <v>12</v>
      </c>
      <c r="B114" s="29">
        <f t="shared" si="2"/>
        <v>7179.222</v>
      </c>
      <c r="C114" s="182">
        <f>'октябрь факт'!C114+'ноябрь факт'!C114+'декабрь оперативно '!C114</f>
        <v>0</v>
      </c>
      <c r="D114" s="182">
        <f>'октябрь факт'!D114+'ноябрь факт'!D114+'декабрь оперативно '!D114</f>
        <v>0</v>
      </c>
      <c r="E114" s="182">
        <f>'октябрь факт'!E114+'ноябрь факт'!E112+'декабрь оперативно '!E114</f>
        <v>100.251</v>
      </c>
      <c r="F114" s="183">
        <f>'октябрь факт'!F114+'ноябрь факт'!F112+'декабрь оперативно '!F114</f>
        <v>7078.971</v>
      </c>
    </row>
    <row r="115" ht="13.5" thickBot="1">
      <c r="A115" s="172"/>
    </row>
    <row r="116" spans="1:6" ht="24" thickBot="1">
      <c r="A116" s="163" t="s">
        <v>72</v>
      </c>
      <c r="B116" s="113" t="e">
        <f>C116+D116+E116+F116</f>
        <v>#REF!</v>
      </c>
      <c r="C116" s="118" t="e">
        <f>C110+C105+C100+C95+C90+C85+C80+C75+C70+C65+C60+C55+C50+C45+C40+C35+C30+C25+C20+C15+C10+C5</f>
        <v>#REF!</v>
      </c>
      <c r="D116" s="118" t="e">
        <f>D110+D105+D100+D95+D90+D85+D80+D75+D70+D65+D60+D55+D50+D45+D40+D35+D30+D25+D20+D15+D10+D5</f>
        <v>#REF!</v>
      </c>
      <c r="E116" s="118" t="e">
        <f>E110+E105+E100+E95+E90+E85+E80+E75+E70+E65+E60+E55+E50+E45+E40+E35+E30+E25+E20+E15+E10+E5</f>
        <v>#REF!</v>
      </c>
      <c r="F116" s="118" t="e">
        <f>F110+F105+F100+F95+F90+F85+F80+F75+F70+F65+F60+F55+F50+F45+F40+F35+F30+F25+F20+F15+F10+F5</f>
        <v>#REF!</v>
      </c>
    </row>
    <row r="117" ht="12.75">
      <c r="A117" s="176"/>
    </row>
    <row r="118" ht="12.75">
      <c r="A118" s="176"/>
    </row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3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zoomScale="60" zoomScaleNormal="60" zoomScalePageLayoutView="0" workbookViewId="0" topLeftCell="A90">
      <selection activeCell="A118" sqref="A5:F118"/>
    </sheetView>
  </sheetViews>
  <sheetFormatPr defaultColWidth="9.00390625" defaultRowHeight="12.75"/>
  <cols>
    <col min="1" max="1" width="56.25390625" style="0" customWidth="1"/>
    <col min="2" max="6" width="24.00390625" style="0" customWidth="1"/>
  </cols>
  <sheetData>
    <row r="1" spans="1:6" s="33" customFormat="1" ht="23.25">
      <c r="A1" s="185" t="s">
        <v>29</v>
      </c>
      <c r="B1" s="185"/>
      <c r="C1" s="185"/>
      <c r="D1" s="185"/>
      <c r="E1" s="185"/>
      <c r="F1" s="185"/>
    </row>
    <row r="2" spans="1:6" s="64" customFormat="1" ht="23.25">
      <c r="A2" s="186" t="s">
        <v>67</v>
      </c>
      <c r="B2" s="186"/>
      <c r="C2" s="186"/>
      <c r="D2" s="188"/>
      <c r="E2" s="188"/>
      <c r="F2" s="188"/>
    </row>
    <row r="3" spans="1:6" s="59" customFormat="1" ht="18.75" thickBot="1">
      <c r="A3" s="3"/>
      <c r="B3" s="3"/>
      <c r="C3" s="3"/>
      <c r="D3" s="3"/>
      <c r="E3" s="3"/>
      <c r="F3" s="56" t="s">
        <v>28</v>
      </c>
    </row>
    <row r="4" spans="1:8" s="66" customFormat="1" ht="29.25" customHeight="1" thickBot="1">
      <c r="A4" s="38" t="s">
        <v>46</v>
      </c>
      <c r="B4" s="53"/>
      <c r="C4" s="42" t="s">
        <v>0</v>
      </c>
      <c r="D4" s="42" t="s">
        <v>1</v>
      </c>
      <c r="E4" s="42" t="s">
        <v>2</v>
      </c>
      <c r="F4" s="43" t="s">
        <v>3</v>
      </c>
      <c r="G4" s="7"/>
      <c r="H4" s="65"/>
    </row>
    <row r="5" spans="1:6" s="2" customFormat="1" ht="40.5" customHeight="1">
      <c r="A5" s="57" t="s">
        <v>35</v>
      </c>
      <c r="B5" s="44">
        <f aca="true" t="shared" si="0" ref="B5:B36">C5+D5+E5+F5</f>
        <v>469129.282</v>
      </c>
      <c r="C5" s="74">
        <f>C6+C7</f>
        <v>190470.838</v>
      </c>
      <c r="D5" s="74">
        <f>D6+D7</f>
        <v>7313.239</v>
      </c>
      <c r="E5" s="74">
        <f>E6+E7</f>
        <v>122911.227</v>
      </c>
      <c r="F5" s="75">
        <f>F6+F7</f>
        <v>148433.978</v>
      </c>
    </row>
    <row r="6" spans="1:6" s="2" customFormat="1" ht="51.75" customHeight="1">
      <c r="A6" s="97" t="s">
        <v>47</v>
      </c>
      <c r="B6" s="5">
        <f t="shared" si="0"/>
        <v>368297.689</v>
      </c>
      <c r="C6" s="8">
        <f>'3 квартал'!C6+'4 квартал'!C6</f>
        <v>190307.818</v>
      </c>
      <c r="D6" s="8">
        <f>'3 квартал'!D6+'4 квартал'!D6</f>
        <v>7304.869</v>
      </c>
      <c r="E6" s="8">
        <f>'3 квартал'!E6+'4 квартал'!E6</f>
        <v>117762.095</v>
      </c>
      <c r="F6" s="9">
        <f>'3 квартал'!F6+'4 квартал'!F6</f>
        <v>52922.90699999999</v>
      </c>
    </row>
    <row r="7" spans="1:6" s="2" customFormat="1" ht="20.25" customHeight="1">
      <c r="A7" s="15" t="s">
        <v>10</v>
      </c>
      <c r="B7" s="5">
        <f t="shared" si="0"/>
        <v>100831.593</v>
      </c>
      <c r="C7" s="8">
        <f>'3 квартал'!C7+'4 квартал'!C7</f>
        <v>163.02</v>
      </c>
      <c r="D7" s="8">
        <f>'3 квартал'!D7+'4 квартал'!D7</f>
        <v>8.370000000000001</v>
      </c>
      <c r="E7" s="8">
        <f>'3 квартал'!E7+'4 квартал'!E7</f>
        <v>5149.1320000000005</v>
      </c>
      <c r="F7" s="9">
        <f>'3 квартал'!F7+'4 квартал'!F7</f>
        <v>95511.071</v>
      </c>
    </row>
    <row r="8" spans="1:6" s="2" customFormat="1" ht="21.75" customHeight="1">
      <c r="A8" s="15" t="s">
        <v>11</v>
      </c>
      <c r="B8" s="5">
        <f t="shared" si="0"/>
        <v>28932.046000000002</v>
      </c>
      <c r="C8" s="8">
        <f>'3 квартал'!C8+'4 квартал'!C8</f>
        <v>58.149</v>
      </c>
      <c r="D8" s="8">
        <f>'3 квартал'!D8+'4 квартал'!D8</f>
        <v>0</v>
      </c>
      <c r="E8" s="8">
        <f>'3 квартал'!E8+'4 квартал'!E8</f>
        <v>963.0520000000001</v>
      </c>
      <c r="F8" s="9">
        <f>'3 квартал'!F8+'4 квартал'!F8</f>
        <v>27910.845</v>
      </c>
    </row>
    <row r="9" spans="1:6" s="2" customFormat="1" ht="24.75" customHeight="1">
      <c r="A9" s="15" t="s">
        <v>12</v>
      </c>
      <c r="B9" s="5">
        <f t="shared" si="0"/>
        <v>71899.54699999999</v>
      </c>
      <c r="C9" s="8">
        <f>'3 квартал'!C9+'4 квартал'!C9</f>
        <v>104.871</v>
      </c>
      <c r="D9" s="8">
        <f>'3 квартал'!D9+'4 квартал'!D9</f>
        <v>8.370000000000001</v>
      </c>
      <c r="E9" s="8">
        <f>'3 квартал'!E9+'4 квартал'!E9</f>
        <v>4186.08</v>
      </c>
      <c r="F9" s="9">
        <f>'3 квартал'!F9+'4 квартал'!F9</f>
        <v>67600.226</v>
      </c>
    </row>
    <row r="10" spans="1:6" s="2" customFormat="1" ht="30.75" customHeight="1">
      <c r="A10" s="58" t="s">
        <v>36</v>
      </c>
      <c r="B10" s="5">
        <f t="shared" si="0"/>
        <v>34639.563</v>
      </c>
      <c r="C10" s="8">
        <f>'3 квартал'!C10+'4 квартал'!C10</f>
        <v>5046.02</v>
      </c>
      <c r="D10" s="8">
        <f>'3 квартал'!D10+'4 квартал'!D10</f>
        <v>0</v>
      </c>
      <c r="E10" s="8">
        <f>'3 квартал'!E10+'4 квартал'!E10</f>
        <v>12451.727</v>
      </c>
      <c r="F10" s="9">
        <f>'3 квартал'!F10+'4 квартал'!F10</f>
        <v>17141.816</v>
      </c>
    </row>
    <row r="11" spans="1:6" s="2" customFormat="1" ht="21.75" customHeight="1">
      <c r="A11" s="15" t="s">
        <v>13</v>
      </c>
      <c r="B11" s="5">
        <f t="shared" si="0"/>
        <v>21520.142</v>
      </c>
      <c r="C11" s="8">
        <f>'3 квартал'!C11+'4 квартал'!C11</f>
        <v>4493.629</v>
      </c>
      <c r="D11" s="8">
        <f>'3 квартал'!D11+'4 квартал'!D11</f>
        <v>0</v>
      </c>
      <c r="E11" s="8">
        <f>'3 квартал'!E11+'4 квартал'!E11</f>
        <v>10450.047</v>
      </c>
      <c r="F11" s="9">
        <f>'3 квартал'!F11+'4 квартал'!F11</f>
        <v>6576.466</v>
      </c>
    </row>
    <row r="12" spans="1:6" s="2" customFormat="1" ht="19.5" customHeight="1">
      <c r="A12" s="15" t="s">
        <v>10</v>
      </c>
      <c r="B12" s="5">
        <f t="shared" si="0"/>
        <v>13119.421</v>
      </c>
      <c r="C12" s="8">
        <f>'3 квартал'!C12+'4 квартал'!C12</f>
        <v>552.391</v>
      </c>
      <c r="D12" s="8">
        <f>'3 квартал'!D12+'4 квартал'!D12</f>
        <v>0</v>
      </c>
      <c r="E12" s="8">
        <f>'3 квартал'!E12+'4 квартал'!E12</f>
        <v>2001.68</v>
      </c>
      <c r="F12" s="9">
        <f>'3 квартал'!F12+'4 квартал'!F12</f>
        <v>10565.35</v>
      </c>
    </row>
    <row r="13" spans="1:6" s="2" customFormat="1" ht="17.25" customHeight="1">
      <c r="A13" s="15" t="s">
        <v>11</v>
      </c>
      <c r="B13" s="5">
        <f t="shared" si="0"/>
        <v>7646.755</v>
      </c>
      <c r="C13" s="8">
        <f>'3 квартал'!C13+'4 квартал'!C13</f>
        <v>0</v>
      </c>
      <c r="D13" s="8">
        <f>'3 квартал'!D13+'4 квартал'!D13</f>
        <v>0</v>
      </c>
      <c r="E13" s="8">
        <f>'3 квартал'!E13+'4 квартал'!E13</f>
        <v>412.774</v>
      </c>
      <c r="F13" s="9">
        <f>'3 квартал'!F13+'4 квартал'!F13</f>
        <v>7233.981</v>
      </c>
    </row>
    <row r="14" spans="1:6" s="2" customFormat="1" ht="17.25" customHeight="1">
      <c r="A14" s="15" t="s">
        <v>12</v>
      </c>
      <c r="B14" s="5">
        <f t="shared" si="0"/>
        <v>5472.665999999999</v>
      </c>
      <c r="C14" s="8">
        <f>'3 квартал'!C14+'4 квартал'!C14</f>
        <v>552.391</v>
      </c>
      <c r="D14" s="8">
        <f>'3 квартал'!D14+'4 квартал'!D14</f>
        <v>0</v>
      </c>
      <c r="E14" s="8">
        <f>'3 квартал'!E14+'4 квартал'!E14</f>
        <v>1588.906</v>
      </c>
      <c r="F14" s="9">
        <f>'3 квартал'!F14+'4 квартал'!F14</f>
        <v>3331.3689999999997</v>
      </c>
    </row>
    <row r="15" spans="1:6" s="2" customFormat="1" ht="35.25" customHeight="1">
      <c r="A15" s="58" t="s">
        <v>6</v>
      </c>
      <c r="B15" s="5">
        <f t="shared" si="0"/>
        <v>6953.322</v>
      </c>
      <c r="C15" s="8">
        <f>'3 квартал'!C15+'4 квартал'!C15</f>
        <v>6953.322</v>
      </c>
      <c r="D15" s="8">
        <f>'3 квартал'!D15+'4 квартал'!D15</f>
        <v>0</v>
      </c>
      <c r="E15" s="8">
        <f>'3 квартал'!E15+'4 квартал'!E15</f>
        <v>0</v>
      </c>
      <c r="F15" s="9">
        <f>'3 квартал'!F15+'4 квартал'!F15</f>
        <v>0</v>
      </c>
    </row>
    <row r="16" spans="1:6" s="2" customFormat="1" ht="19.5" customHeight="1">
      <c r="A16" s="15" t="s">
        <v>13</v>
      </c>
      <c r="B16" s="5">
        <f t="shared" si="0"/>
        <v>6949.592000000001</v>
      </c>
      <c r="C16" s="8">
        <f>'3 квартал'!C16+'4 квартал'!C16</f>
        <v>6949.592000000001</v>
      </c>
      <c r="D16" s="8">
        <f>'3 квартал'!D16+'4 квартал'!D16</f>
        <v>0</v>
      </c>
      <c r="E16" s="8">
        <f>'3 квартал'!E16+'4 квартал'!E16</f>
        <v>0</v>
      </c>
      <c r="F16" s="9">
        <f>'3 квартал'!F16+'4 квартал'!F16</f>
        <v>0</v>
      </c>
    </row>
    <row r="17" spans="1:6" s="2" customFormat="1" ht="18" customHeight="1">
      <c r="A17" s="15" t="s">
        <v>10</v>
      </c>
      <c r="B17" s="5">
        <f t="shared" si="0"/>
        <v>3.73</v>
      </c>
      <c r="C17" s="8">
        <f>'3 квартал'!C17+'4 квартал'!C17</f>
        <v>3.73</v>
      </c>
      <c r="D17" s="8">
        <f>'3 квартал'!D17+'4 квартал'!D17</f>
        <v>0</v>
      </c>
      <c r="E17" s="8">
        <f>'3 квартал'!E17+'4 квартал'!E17</f>
        <v>0</v>
      </c>
      <c r="F17" s="9">
        <f>'3 квартал'!F17+'4 квартал'!F17</f>
        <v>0</v>
      </c>
    </row>
    <row r="18" spans="1:6" s="2" customFormat="1" ht="19.5" customHeight="1">
      <c r="A18" s="15" t="s">
        <v>11</v>
      </c>
      <c r="B18" s="5">
        <f t="shared" si="0"/>
        <v>3.73</v>
      </c>
      <c r="C18" s="8">
        <f>'3 квартал'!C18+'4 квартал'!C18</f>
        <v>3.73</v>
      </c>
      <c r="D18" s="8">
        <f>'3 квартал'!D18+'4 квартал'!D18</f>
        <v>0</v>
      </c>
      <c r="E18" s="8">
        <f>'3 квартал'!E18+'4 квартал'!E18</f>
        <v>0</v>
      </c>
      <c r="F18" s="9">
        <f>'3 квартал'!F18+'4 квартал'!F18</f>
        <v>0</v>
      </c>
    </row>
    <row r="19" spans="1:6" s="2" customFormat="1" ht="19.5" customHeight="1">
      <c r="A19" s="15" t="s">
        <v>12</v>
      </c>
      <c r="B19" s="5">
        <f t="shared" si="0"/>
        <v>0</v>
      </c>
      <c r="C19" s="8">
        <f>'3 квартал'!C19+'4 квартал'!C19</f>
        <v>0</v>
      </c>
      <c r="D19" s="8">
        <f>'3 квартал'!D19+'4 квартал'!D19</f>
        <v>0</v>
      </c>
      <c r="E19" s="8">
        <f>'3 квартал'!E19+'4 квартал'!E19</f>
        <v>0</v>
      </c>
      <c r="F19" s="9">
        <f>'3 квартал'!F19+'4 квартал'!F19</f>
        <v>0</v>
      </c>
    </row>
    <row r="20" spans="1:6" s="2" customFormat="1" ht="51" customHeight="1">
      <c r="A20" s="58" t="s">
        <v>37</v>
      </c>
      <c r="B20" s="5">
        <f t="shared" si="0"/>
        <v>14478.77</v>
      </c>
      <c r="C20" s="8">
        <f>'3 квартал'!C20+'4 квартал'!C20</f>
        <v>11284.579000000002</v>
      </c>
      <c r="D20" s="8">
        <f>'3 квартал'!D20+'4 квартал'!D20</f>
        <v>2169.489</v>
      </c>
      <c r="E20" s="8">
        <f>'3 квартал'!E20+'4 квартал'!E20</f>
        <v>579.767</v>
      </c>
      <c r="F20" s="9">
        <f>'3 квартал'!F20+'4 квартал'!F20</f>
        <v>444.935</v>
      </c>
    </row>
    <row r="21" spans="1:6" s="2" customFormat="1" ht="21.75" customHeight="1">
      <c r="A21" s="15" t="s">
        <v>13</v>
      </c>
      <c r="B21" s="5">
        <f t="shared" si="0"/>
        <v>14375.001</v>
      </c>
      <c r="C21" s="8">
        <f>'3 квартал'!C21+'4 квартал'!C21</f>
        <v>11284.579000000002</v>
      </c>
      <c r="D21" s="8">
        <f>'3 квартал'!D21+'4 квартал'!D21</f>
        <v>2169.489</v>
      </c>
      <c r="E21" s="8">
        <f>'3 квартал'!E21+'4 квартал'!E21</f>
        <v>579.767</v>
      </c>
      <c r="F21" s="9">
        <f>'3 квартал'!F21+'4 квартал'!F21</f>
        <v>341.166</v>
      </c>
    </row>
    <row r="22" spans="1:6" s="2" customFormat="1" ht="21" customHeight="1">
      <c r="A22" s="15" t="s">
        <v>10</v>
      </c>
      <c r="B22" s="5">
        <f t="shared" si="0"/>
        <v>103.769</v>
      </c>
      <c r="C22" s="8">
        <f>'3 квартал'!C22+'4 квартал'!C22</f>
        <v>0</v>
      </c>
      <c r="D22" s="8">
        <f>'3 квартал'!D22+'4 квартал'!D22</f>
        <v>0</v>
      </c>
      <c r="E22" s="8">
        <f>'3 квартал'!E22+'4 квартал'!E22</f>
        <v>0</v>
      </c>
      <c r="F22" s="9">
        <f>'3 квартал'!F22+'4 квартал'!F22</f>
        <v>103.769</v>
      </c>
    </row>
    <row r="23" spans="1:6" s="2" customFormat="1" ht="21.75" customHeight="1">
      <c r="A23" s="15" t="s">
        <v>11</v>
      </c>
      <c r="B23" s="5">
        <f t="shared" si="0"/>
        <v>103.769</v>
      </c>
      <c r="C23" s="8">
        <f>'3 квартал'!C23+'4 квартал'!C23</f>
        <v>0</v>
      </c>
      <c r="D23" s="8">
        <f>'3 квартал'!D23+'4 квартал'!D23</f>
        <v>0</v>
      </c>
      <c r="E23" s="8">
        <f>'3 квартал'!E23+'4 квартал'!E23</f>
        <v>0</v>
      </c>
      <c r="F23" s="9">
        <f>'3 квартал'!F23+'4 квартал'!F23</f>
        <v>103.769</v>
      </c>
    </row>
    <row r="24" spans="1:6" s="2" customFormat="1" ht="21" customHeight="1">
      <c r="A24" s="15" t="s">
        <v>12</v>
      </c>
      <c r="B24" s="5">
        <f t="shared" si="0"/>
        <v>0</v>
      </c>
      <c r="C24" s="8">
        <f>'3 квартал'!C24+'4 квартал'!C24</f>
        <v>0</v>
      </c>
      <c r="D24" s="8">
        <f>'3 квартал'!D24+'4 квартал'!D24</f>
        <v>0</v>
      </c>
      <c r="E24" s="8">
        <f>'3 квартал'!E24+'4 квартал'!E24</f>
        <v>0</v>
      </c>
      <c r="F24" s="9">
        <f>'3 квартал'!F24+'4 квартал'!F24</f>
        <v>0</v>
      </c>
    </row>
    <row r="25" spans="1:6" s="2" customFormat="1" ht="41.25" customHeight="1">
      <c r="A25" s="58" t="s">
        <v>7</v>
      </c>
      <c r="B25" s="5">
        <f t="shared" si="0"/>
        <v>74410.534</v>
      </c>
      <c r="C25" s="8">
        <f>'3 квартал'!C25+'4 квартал'!C25</f>
        <v>41053.032999999996</v>
      </c>
      <c r="D25" s="8">
        <f>'3 квартал'!D25+'4 квартал'!D25</f>
        <v>0</v>
      </c>
      <c r="E25" s="8">
        <f>'3 квартал'!E25+'4 квартал'!E25</f>
        <v>11800.554</v>
      </c>
      <c r="F25" s="9">
        <f>'3 квартал'!F25+'4 квартал'!F25</f>
        <v>21556.947</v>
      </c>
    </row>
    <row r="26" spans="1:6" s="2" customFormat="1" ht="19.5" customHeight="1">
      <c r="A26" s="15" t="s">
        <v>13</v>
      </c>
      <c r="B26" s="5">
        <f t="shared" si="0"/>
        <v>59341.435</v>
      </c>
      <c r="C26" s="8">
        <f>'3 квартал'!C26+'4 квартал'!C26</f>
        <v>41053.032999999996</v>
      </c>
      <c r="D26" s="8">
        <f>'3 квартал'!D26+'4 квартал'!D26</f>
        <v>0</v>
      </c>
      <c r="E26" s="8">
        <f>'3 квартал'!E26+'4 квартал'!E26</f>
        <v>11427.293000000001</v>
      </c>
      <c r="F26" s="9">
        <f>'3 квартал'!F26+'4 квартал'!F26</f>
        <v>6861.109</v>
      </c>
    </row>
    <row r="27" spans="1:6" s="2" customFormat="1" ht="24.75" customHeight="1">
      <c r="A27" s="15" t="s">
        <v>10</v>
      </c>
      <c r="B27" s="5">
        <f t="shared" si="0"/>
        <v>15069.099</v>
      </c>
      <c r="C27" s="8">
        <f>'3 квартал'!C27+'4 квартал'!C27</f>
        <v>0</v>
      </c>
      <c r="D27" s="8">
        <f>'3 квартал'!D27+'4 квартал'!D27</f>
        <v>0</v>
      </c>
      <c r="E27" s="8">
        <f>'3 квартал'!E27+'4 квартал'!E27</f>
        <v>373.261</v>
      </c>
      <c r="F27" s="9">
        <f>'3 квартал'!F27+'4 квартал'!F27</f>
        <v>14695.838</v>
      </c>
    </row>
    <row r="28" spans="1:6" s="2" customFormat="1" ht="25.5" customHeight="1">
      <c r="A28" s="15" t="s">
        <v>11</v>
      </c>
      <c r="B28" s="5">
        <f t="shared" si="0"/>
        <v>14537.697</v>
      </c>
      <c r="C28" s="8">
        <f>'3 квартал'!C28+'4 квартал'!C28</f>
        <v>0</v>
      </c>
      <c r="D28" s="8">
        <f>'3 квартал'!D28+'4 квартал'!D28</f>
        <v>0</v>
      </c>
      <c r="E28" s="8">
        <f>'3 квартал'!E28+'4 квартал'!E28</f>
        <v>373.261</v>
      </c>
      <c r="F28" s="9">
        <f>'3 квартал'!F28+'4 квартал'!F28</f>
        <v>14164.436</v>
      </c>
    </row>
    <row r="29" spans="1:6" s="2" customFormat="1" ht="20.25" customHeight="1">
      <c r="A29" s="15" t="s">
        <v>12</v>
      </c>
      <c r="B29" s="5">
        <f t="shared" si="0"/>
        <v>500.823</v>
      </c>
      <c r="C29" s="8">
        <f>'3 квартал'!C29+'4 квартал'!C29</f>
        <v>0</v>
      </c>
      <c r="D29" s="8">
        <f>'3 квартал'!D29+'4 квартал'!D29</f>
        <v>0</v>
      </c>
      <c r="E29" s="8">
        <f>'3 квартал'!E29+'4 квартал'!E29</f>
        <v>0</v>
      </c>
      <c r="F29" s="9">
        <f>'3 квартал'!F29+'4 квартал'!F29</f>
        <v>500.823</v>
      </c>
    </row>
    <row r="30" spans="1:6" s="2" customFormat="1" ht="50.25" customHeight="1">
      <c r="A30" s="58" t="s">
        <v>38</v>
      </c>
      <c r="B30" s="5">
        <f t="shared" si="0"/>
        <v>530.521</v>
      </c>
      <c r="C30" s="8">
        <f>'3 квартал'!C30+'4 квартал'!C30</f>
        <v>0</v>
      </c>
      <c r="D30" s="8">
        <f>'3 квартал'!D30+'4 квартал'!D30</f>
        <v>0</v>
      </c>
      <c r="E30" s="8">
        <f>'3 квартал'!E30+'4 квартал'!E30</f>
        <v>275.28700000000003</v>
      </c>
      <c r="F30" s="9">
        <f>'3 квартал'!F30+'4 квартал'!F30</f>
        <v>255.23399999999998</v>
      </c>
    </row>
    <row r="31" spans="1:6" s="2" customFormat="1" ht="22.5" customHeight="1">
      <c r="A31" s="15" t="s">
        <v>13</v>
      </c>
      <c r="B31" s="5">
        <f t="shared" si="0"/>
        <v>524.75</v>
      </c>
      <c r="C31" s="8">
        <f>'3 квартал'!C31+'4 квартал'!C31</f>
        <v>0</v>
      </c>
      <c r="D31" s="8">
        <f>'3 квартал'!D31+'4 квартал'!D31</f>
        <v>0</v>
      </c>
      <c r="E31" s="8">
        <f>'3 квартал'!E31+'4 квартал'!E31</f>
        <v>360.65700000000004</v>
      </c>
      <c r="F31" s="9">
        <f>'3 квартал'!F31+'4 квартал'!F31</f>
        <v>164.093</v>
      </c>
    </row>
    <row r="32" spans="1:6" s="2" customFormat="1" ht="24.75" customHeight="1">
      <c r="A32" s="15" t="s">
        <v>10</v>
      </c>
      <c r="B32" s="5">
        <f t="shared" si="0"/>
        <v>220.605</v>
      </c>
      <c r="C32" s="8">
        <f>'3 квартал'!C32+'4 квартал'!C32</f>
        <v>0</v>
      </c>
      <c r="D32" s="8">
        <f>'3 квартал'!D32+'4 квартал'!D32</f>
        <v>0</v>
      </c>
      <c r="E32" s="8">
        <f>'3 квартал'!E32+'4 квартал'!E32</f>
        <v>85.37</v>
      </c>
      <c r="F32" s="9">
        <f>'3 квартал'!F32+'4 квартал'!F32</f>
        <v>135.23499999999999</v>
      </c>
    </row>
    <row r="33" spans="1:6" s="2" customFormat="1" ht="18" customHeight="1">
      <c r="A33" s="15" t="s">
        <v>11</v>
      </c>
      <c r="B33" s="5">
        <f t="shared" si="0"/>
        <v>116.123</v>
      </c>
      <c r="C33" s="8">
        <f>'3 квартал'!C33+'4 квартал'!C33</f>
        <v>0</v>
      </c>
      <c r="D33" s="8">
        <f>'3 квартал'!D33+'4 квартал'!D33</f>
        <v>0</v>
      </c>
      <c r="E33" s="8">
        <f>'3 квартал'!E33+'4 квартал'!E33</f>
        <v>0</v>
      </c>
      <c r="F33" s="9">
        <f>'3 квартал'!F33+'4 квартал'!F33</f>
        <v>116.123</v>
      </c>
    </row>
    <row r="34" spans="1:6" s="2" customFormat="1" ht="18" customHeight="1">
      <c r="A34" s="15" t="s">
        <v>12</v>
      </c>
      <c r="B34" s="5">
        <f t="shared" si="0"/>
        <v>48.694</v>
      </c>
      <c r="C34" s="8">
        <f>'3 квартал'!C34+'4 квартал'!C34</f>
        <v>0</v>
      </c>
      <c r="D34" s="8">
        <f>'3 квартал'!D34+'4 квартал'!D34</f>
        <v>0</v>
      </c>
      <c r="E34" s="8">
        <f>'3 квартал'!E34+'4 квартал'!E34</f>
        <v>0</v>
      </c>
      <c r="F34" s="9">
        <f>'3 квартал'!F34+'4 квартал'!F34</f>
        <v>48.694</v>
      </c>
    </row>
    <row r="35" spans="1:6" s="2" customFormat="1" ht="35.25" customHeight="1">
      <c r="A35" s="58" t="s">
        <v>39</v>
      </c>
      <c r="B35" s="5">
        <f t="shared" si="0"/>
        <v>636.3879999999999</v>
      </c>
      <c r="C35" s="8">
        <f>'3 квартал'!C35+'4 квартал'!C35</f>
        <v>0</v>
      </c>
      <c r="D35" s="8">
        <f>'3 квартал'!D35+'4 квартал'!D35</f>
        <v>0</v>
      </c>
      <c r="E35" s="8">
        <f>'3 квартал'!E35+'4 квартал'!E35</f>
        <v>0</v>
      </c>
      <c r="F35" s="9">
        <f>'3 квартал'!F35+'4 квартал'!F35</f>
        <v>636.3879999999999</v>
      </c>
    </row>
    <row r="36" spans="1:6" s="2" customFormat="1" ht="23.25" customHeight="1">
      <c r="A36" s="15" t="s">
        <v>13</v>
      </c>
      <c r="B36" s="5">
        <f t="shared" si="0"/>
        <v>794.2490000000001</v>
      </c>
      <c r="C36" s="8">
        <f>'3 квартал'!C36+'4 квартал'!C36</f>
        <v>0</v>
      </c>
      <c r="D36" s="8">
        <f>'3 квартал'!D36+'4 квартал'!D36</f>
        <v>0</v>
      </c>
      <c r="E36" s="8">
        <f>'3 квартал'!E36+'4 квартал'!E36</f>
        <v>0</v>
      </c>
      <c r="F36" s="9">
        <f>'3 квартал'!F36+'4 квартал'!F36</f>
        <v>794.2490000000001</v>
      </c>
    </row>
    <row r="37" spans="1:6" s="2" customFormat="1" ht="23.25" customHeight="1">
      <c r="A37" s="15" t="s">
        <v>10</v>
      </c>
      <c r="B37" s="5">
        <f aca="true" t="shared" si="1" ref="B37:B68">C37+D37+E37+F37</f>
        <v>290.896</v>
      </c>
      <c r="C37" s="8">
        <f>'3 квартал'!C37+'4 квартал'!C37</f>
        <v>0</v>
      </c>
      <c r="D37" s="8">
        <f>'3 квартал'!D37+'4 квартал'!D37</f>
        <v>0</v>
      </c>
      <c r="E37" s="8">
        <f>'3 квартал'!E37+'4 квартал'!E37</f>
        <v>0</v>
      </c>
      <c r="F37" s="9">
        <f>'3 квартал'!F37+'4 квартал'!F37</f>
        <v>290.896</v>
      </c>
    </row>
    <row r="38" spans="1:6" s="2" customFormat="1" ht="23.25" customHeight="1">
      <c r="A38" s="15" t="s">
        <v>11</v>
      </c>
      <c r="B38" s="5">
        <f t="shared" si="1"/>
        <v>13.487</v>
      </c>
      <c r="C38" s="8">
        <f>'3 квартал'!C38+'4 квартал'!C38</f>
        <v>0</v>
      </c>
      <c r="D38" s="8">
        <f>'3 квартал'!D38+'4 квартал'!D38</f>
        <v>0</v>
      </c>
      <c r="E38" s="8">
        <f>'3 квартал'!E38+'4 квартал'!E38</f>
        <v>0</v>
      </c>
      <c r="F38" s="9">
        <f>'3 квартал'!F38+'4 квартал'!F38</f>
        <v>13.487</v>
      </c>
    </row>
    <row r="39" spans="1:6" s="2" customFormat="1" ht="23.25" customHeight="1">
      <c r="A39" s="15" t="s">
        <v>12</v>
      </c>
      <c r="B39" s="5">
        <f t="shared" si="1"/>
        <v>70.679</v>
      </c>
      <c r="C39" s="8">
        <f>'3 квартал'!C39+'4 квартал'!C39</f>
        <v>0</v>
      </c>
      <c r="D39" s="8">
        <f>'3 квартал'!D39+'4 квартал'!D39</f>
        <v>0</v>
      </c>
      <c r="E39" s="8">
        <f>'3 квартал'!E39+'4 квартал'!E39</f>
        <v>0</v>
      </c>
      <c r="F39" s="9">
        <f>'3 квартал'!F39+'4 квартал'!F39</f>
        <v>70.679</v>
      </c>
    </row>
    <row r="40" spans="1:6" s="2" customFormat="1" ht="42" customHeight="1">
      <c r="A40" s="58" t="s">
        <v>24</v>
      </c>
      <c r="B40" s="5">
        <f t="shared" si="1"/>
        <v>13.487</v>
      </c>
      <c r="C40" s="8">
        <f>'3 квартал'!C40+'4 квартал'!C40</f>
        <v>0</v>
      </c>
      <c r="D40" s="8">
        <f>'3 квартал'!D40+'4 квартал'!D40</f>
        <v>0</v>
      </c>
      <c r="E40" s="8">
        <f>'3 квартал'!E40+'4 квартал'!E40</f>
        <v>0</v>
      </c>
      <c r="F40" s="9">
        <f>'3 квартал'!F40+'4 квартал'!F40</f>
        <v>13.487</v>
      </c>
    </row>
    <row r="41" spans="1:6" s="2" customFormat="1" ht="19.5" customHeight="1">
      <c r="A41" s="15" t="s">
        <v>13</v>
      </c>
      <c r="B41" s="5">
        <f t="shared" si="1"/>
        <v>147.87900000000002</v>
      </c>
      <c r="C41" s="8">
        <f>'3 квартал'!C41+'4 квартал'!C41</f>
        <v>49.578</v>
      </c>
      <c r="D41" s="8">
        <f>'3 квартал'!D41+'4 квартал'!D41</f>
        <v>0</v>
      </c>
      <c r="E41" s="8">
        <f>'3 квартал'!E41+'4 квартал'!E41</f>
        <v>98.301</v>
      </c>
      <c r="F41" s="9">
        <f>'3 квартал'!F41+'4 квартал'!F41</f>
        <v>0</v>
      </c>
    </row>
    <row r="42" spans="1:6" s="2" customFormat="1" ht="19.5" customHeight="1">
      <c r="A42" s="15" t="s">
        <v>10</v>
      </c>
      <c r="B42" s="5">
        <f t="shared" si="1"/>
        <v>147.87900000000002</v>
      </c>
      <c r="C42" s="8">
        <f>'3 квартал'!C42+'4 квартал'!C42</f>
        <v>49.578</v>
      </c>
      <c r="D42" s="8">
        <f>'3 квартал'!D42+'4 квартал'!D42</f>
        <v>0</v>
      </c>
      <c r="E42" s="8">
        <f>'3 квартал'!E42+'4 квартал'!E42</f>
        <v>98.301</v>
      </c>
      <c r="F42" s="9">
        <f>'3 квартал'!F42+'4 квартал'!F42</f>
        <v>0</v>
      </c>
    </row>
    <row r="43" spans="1:6" s="2" customFormat="1" ht="19.5" customHeight="1">
      <c r="A43" s="15" t="s">
        <v>11</v>
      </c>
      <c r="B43" s="5">
        <f t="shared" si="1"/>
        <v>0</v>
      </c>
      <c r="C43" s="8">
        <f>'3 квартал'!C43+'4 квартал'!C43</f>
        <v>0</v>
      </c>
      <c r="D43" s="8">
        <f>'3 квартал'!D43+'4 квартал'!D43</f>
        <v>0</v>
      </c>
      <c r="E43" s="8">
        <f>'3 квартал'!E43+'4 квартал'!E43</f>
        <v>0</v>
      </c>
      <c r="F43" s="9">
        <f>'3 квартал'!F43+'4 квартал'!F43</f>
        <v>0</v>
      </c>
    </row>
    <row r="44" spans="1:6" s="2" customFormat="1" ht="19.5" customHeight="1">
      <c r="A44" s="15" t="s">
        <v>12</v>
      </c>
      <c r="B44" s="5">
        <f t="shared" si="1"/>
        <v>0</v>
      </c>
      <c r="C44" s="8">
        <f>'3 квартал'!C44+'4 квартал'!C44</f>
        <v>0</v>
      </c>
      <c r="D44" s="8">
        <f>'3 квартал'!D44+'4 квартал'!D44</f>
        <v>0</v>
      </c>
      <c r="E44" s="8">
        <f>'3 квартал'!E44+'4 квартал'!E44</f>
        <v>0</v>
      </c>
      <c r="F44" s="9">
        <f>'3 квартал'!F44+'4 квартал'!F44</f>
        <v>0</v>
      </c>
    </row>
    <row r="45" spans="1:6" s="2" customFormat="1" ht="24.75" customHeight="1">
      <c r="A45" s="27" t="s">
        <v>26</v>
      </c>
      <c r="B45" s="5">
        <f t="shared" si="1"/>
        <v>2478.962</v>
      </c>
      <c r="C45" s="8">
        <f>'3 квартал'!C45+'4 квартал'!C45</f>
        <v>0</v>
      </c>
      <c r="D45" s="8">
        <f>'3 квартал'!D45+'4 квартал'!D45</f>
        <v>0</v>
      </c>
      <c r="E45" s="8">
        <f>'3 квартал'!E45+'4 квартал'!E45</f>
        <v>1888.594</v>
      </c>
      <c r="F45" s="9">
        <f>'3 квартал'!F45+'4 квартал'!F45</f>
        <v>590.3679999999999</v>
      </c>
    </row>
    <row r="46" spans="1:6" s="2" customFormat="1" ht="24.75" customHeight="1">
      <c r="A46" s="15" t="s">
        <v>13</v>
      </c>
      <c r="B46" s="5">
        <f t="shared" si="1"/>
        <v>2916.175</v>
      </c>
      <c r="C46" s="8">
        <f>'3 квартал'!C46+'4 квартал'!C46</f>
        <v>0</v>
      </c>
      <c r="D46" s="8">
        <f>'3 квартал'!D46+'4 квартал'!D46</f>
        <v>0</v>
      </c>
      <c r="E46" s="8">
        <f>'3 квартал'!E46+'4 квартал'!E46</f>
        <v>2251.6530000000002</v>
      </c>
      <c r="F46" s="9">
        <f>'3 квартал'!F46+'4 квартал'!F46</f>
        <v>664.5219999999999</v>
      </c>
    </row>
    <row r="47" spans="1:6" s="2" customFormat="1" ht="24.75" customHeight="1">
      <c r="A47" s="15" t="s">
        <v>10</v>
      </c>
      <c r="B47" s="5">
        <f t="shared" si="1"/>
        <v>437.213</v>
      </c>
      <c r="C47" s="8">
        <f>'3 квартал'!C47+'4 квартал'!C47</f>
        <v>0</v>
      </c>
      <c r="D47" s="8">
        <f>'3 квартал'!D47+'4 квартал'!D47</f>
        <v>0</v>
      </c>
      <c r="E47" s="8">
        <f>'3 квартал'!E47+'4 квартал'!E47</f>
        <v>363.059</v>
      </c>
      <c r="F47" s="9">
        <f>'3 квартал'!F47+'4 квартал'!F47</f>
        <v>74.154</v>
      </c>
    </row>
    <row r="48" spans="1:6" s="2" customFormat="1" ht="24.75" customHeight="1">
      <c r="A48" s="15" t="s">
        <v>11</v>
      </c>
      <c r="B48" s="5">
        <f t="shared" si="1"/>
        <v>0</v>
      </c>
      <c r="C48" s="8">
        <f>'3 квартал'!C48+'4 квартал'!C48</f>
        <v>0</v>
      </c>
      <c r="D48" s="8">
        <f>'3 квартал'!D48+'4 квартал'!D48</f>
        <v>0</v>
      </c>
      <c r="E48" s="8">
        <f>'3 квартал'!E48+'4 квартал'!E48</f>
        <v>0</v>
      </c>
      <c r="F48" s="9">
        <f>'3 квартал'!F48+'4 квартал'!F48</f>
        <v>0</v>
      </c>
    </row>
    <row r="49" spans="1:6" s="2" customFormat="1" ht="24.75" customHeight="1">
      <c r="A49" s="15" t="s">
        <v>12</v>
      </c>
      <c r="B49" s="5">
        <f t="shared" si="1"/>
        <v>0</v>
      </c>
      <c r="C49" s="8">
        <f>'3 квартал'!C49+'4 квартал'!C49</f>
        <v>0</v>
      </c>
      <c r="D49" s="8">
        <f>'3 квартал'!D49+'4 квартал'!D49</f>
        <v>0</v>
      </c>
      <c r="E49" s="8">
        <f>'3 квартал'!E49+'4 квартал'!E49</f>
        <v>0</v>
      </c>
      <c r="F49" s="9">
        <f>'3 квартал'!F49+'4 квартал'!F49</f>
        <v>0</v>
      </c>
    </row>
    <row r="50" spans="1:6" s="2" customFormat="1" ht="24.75" customHeight="1">
      <c r="A50" s="27" t="s">
        <v>4</v>
      </c>
      <c r="B50" s="5">
        <f t="shared" si="1"/>
        <v>3835.7659999999996</v>
      </c>
      <c r="C50" s="8">
        <f>'3 квартал'!C50+'4 квартал'!C50</f>
        <v>3835.7659999999996</v>
      </c>
      <c r="D50" s="8">
        <f>'3 квартал'!D50+'4 квартал'!D50</f>
        <v>0</v>
      </c>
      <c r="E50" s="8">
        <f>'3 квартал'!E50+'4 квартал'!E50</f>
        <v>0</v>
      </c>
      <c r="F50" s="9">
        <f>'3 квартал'!F50+'4 квартал'!F50</f>
        <v>0</v>
      </c>
    </row>
    <row r="51" spans="1:6" s="2" customFormat="1" ht="24.75" customHeight="1">
      <c r="A51" s="15" t="s">
        <v>13</v>
      </c>
      <c r="B51" s="5">
        <f t="shared" si="1"/>
        <v>4841.824</v>
      </c>
      <c r="C51" s="8">
        <f>'3 квартал'!C51+'4 квартал'!C51</f>
        <v>4841.824</v>
      </c>
      <c r="D51" s="8">
        <f>'3 квартал'!D51+'4 квартал'!D51</f>
        <v>0</v>
      </c>
      <c r="E51" s="8">
        <f>'3 квартал'!E51+'4 квартал'!E51</f>
        <v>0</v>
      </c>
      <c r="F51" s="9">
        <f>'3 квартал'!F51+'4 квартал'!F51</f>
        <v>0</v>
      </c>
    </row>
    <row r="52" spans="1:6" s="2" customFormat="1" ht="24.75" customHeight="1">
      <c r="A52" s="15" t="s">
        <v>10</v>
      </c>
      <c r="B52" s="5">
        <f t="shared" si="1"/>
        <v>1006.058</v>
      </c>
      <c r="C52" s="8">
        <f>'3 квартал'!C52+'4 квартал'!C52</f>
        <v>1006.058</v>
      </c>
      <c r="D52" s="8">
        <f>'3 квартал'!D52+'4 квартал'!D52</f>
        <v>0</v>
      </c>
      <c r="E52" s="8">
        <f>'3 квартал'!E52+'4 квартал'!E52</f>
        <v>0</v>
      </c>
      <c r="F52" s="9">
        <f>'3 квартал'!F52+'4 квартал'!F52</f>
        <v>0</v>
      </c>
    </row>
    <row r="53" spans="1:6" s="2" customFormat="1" ht="24.75" customHeight="1">
      <c r="A53" s="15" t="s">
        <v>11</v>
      </c>
      <c r="B53" s="5">
        <f t="shared" si="1"/>
        <v>0</v>
      </c>
      <c r="C53" s="8">
        <f>'3 квартал'!C53+'4 квартал'!C53</f>
        <v>0</v>
      </c>
      <c r="D53" s="8">
        <f>'3 квартал'!D53+'4 квартал'!D53</f>
        <v>0</v>
      </c>
      <c r="E53" s="8">
        <f>'3 квартал'!E53+'4 квартал'!E53</f>
        <v>0</v>
      </c>
      <c r="F53" s="9">
        <f>'3 квартал'!F53+'4 квартал'!F53</f>
        <v>0</v>
      </c>
    </row>
    <row r="54" spans="1:6" s="2" customFormat="1" ht="24.75" customHeight="1">
      <c r="A54" s="15" t="s">
        <v>12</v>
      </c>
      <c r="B54" s="5">
        <f t="shared" si="1"/>
        <v>0</v>
      </c>
      <c r="C54" s="8">
        <f>'3 квартал'!C54+'4 квартал'!C54</f>
        <v>0</v>
      </c>
      <c r="D54" s="8">
        <f>'3 квартал'!D54+'4 квартал'!D54</f>
        <v>0</v>
      </c>
      <c r="E54" s="8">
        <f>'3 квартал'!E54+'4 квартал'!E54</f>
        <v>0</v>
      </c>
      <c r="F54" s="9">
        <f>'3 квартал'!F54+'4 квартал'!F54</f>
        <v>0</v>
      </c>
    </row>
    <row r="55" spans="1:6" s="2" customFormat="1" ht="50.25" customHeight="1">
      <c r="A55" s="58" t="s">
        <v>40</v>
      </c>
      <c r="B55" s="5">
        <f t="shared" si="1"/>
        <v>8559.629</v>
      </c>
      <c r="C55" s="8">
        <f>'3 квартал'!C55+'4 квартал'!C55</f>
        <v>4670.492</v>
      </c>
      <c r="D55" s="8">
        <f>'3 квартал'!D55+'4 квартал'!D55</f>
        <v>0</v>
      </c>
      <c r="E55" s="8">
        <f>'3 квартал'!E55+'4 квартал'!E55</f>
        <v>1680.749</v>
      </c>
      <c r="F55" s="9">
        <f>'3 квартал'!F55+'4 квартал'!F55</f>
        <v>2208.388</v>
      </c>
    </row>
    <row r="56" spans="1:6" s="2" customFormat="1" ht="26.25" customHeight="1">
      <c r="A56" s="15" t="s">
        <v>13</v>
      </c>
      <c r="B56" s="5">
        <f t="shared" si="1"/>
        <v>8810.827000000001</v>
      </c>
      <c r="C56" s="8">
        <f>'3 квартал'!C56+'4 квартал'!C56</f>
        <v>5525.492</v>
      </c>
      <c r="D56" s="8">
        <f>'3 квартал'!D56+'4 квартал'!D56</f>
        <v>0</v>
      </c>
      <c r="E56" s="8">
        <f>'3 квартал'!E56+'4 квартал'!E56</f>
        <v>2112.723</v>
      </c>
      <c r="F56" s="9">
        <f>'3 квартал'!F56+'4 квартал'!F56</f>
        <v>1172.612</v>
      </c>
    </row>
    <row r="57" spans="1:6" s="2" customFormat="1" ht="26.25" customHeight="1">
      <c r="A57" s="15" t="s">
        <v>10</v>
      </c>
      <c r="B57" s="5">
        <f t="shared" si="1"/>
        <v>2981.2919999999995</v>
      </c>
      <c r="C57" s="8">
        <f>'3 квартал'!C57+'4 квартал'!C57</f>
        <v>855</v>
      </c>
      <c r="D57" s="8">
        <f>'3 квартал'!D57+'4 квартал'!D57</f>
        <v>0</v>
      </c>
      <c r="E57" s="8">
        <f>'3 квартал'!E57+'4 квартал'!E57</f>
        <v>431.974</v>
      </c>
      <c r="F57" s="9">
        <f>'3 квартал'!F57+'4 квартал'!F57</f>
        <v>1694.3179999999998</v>
      </c>
    </row>
    <row r="58" spans="1:6" s="2" customFormat="1" ht="26.25" customHeight="1">
      <c r="A58" s="15" t="s">
        <v>11</v>
      </c>
      <c r="B58" s="5">
        <f t="shared" si="1"/>
        <v>1764.713</v>
      </c>
      <c r="C58" s="8">
        <f>'3 квартал'!C58+'4 квартал'!C58</f>
        <v>0</v>
      </c>
      <c r="D58" s="8">
        <f>'3 квартал'!D58+'4 квартал'!D58</f>
        <v>0</v>
      </c>
      <c r="E58" s="8">
        <f>'3 квартал'!E58+'4 квартал'!E58</f>
        <v>0</v>
      </c>
      <c r="F58" s="9">
        <f>'3 квартал'!F58+'4 квартал'!F58</f>
        <v>1764.713</v>
      </c>
    </row>
    <row r="59" spans="1:6" s="2" customFormat="1" ht="26.25" customHeight="1">
      <c r="A59" s="15" t="s">
        <v>12</v>
      </c>
      <c r="B59" s="5">
        <f t="shared" si="1"/>
        <v>481.512</v>
      </c>
      <c r="C59" s="8">
        <f>'3 квартал'!C59+'4 квартал'!C59</f>
        <v>0</v>
      </c>
      <c r="D59" s="8">
        <f>'3 квартал'!D59+'4 квартал'!D59</f>
        <v>0</v>
      </c>
      <c r="E59" s="8">
        <f>'3 квартал'!E59+'4 квартал'!E59</f>
        <v>0</v>
      </c>
      <c r="F59" s="9">
        <f>'3 квартал'!F59+'4 квартал'!F59</f>
        <v>481.512</v>
      </c>
    </row>
    <row r="60" spans="1:6" s="2" customFormat="1" ht="24.75" customHeight="1">
      <c r="A60" s="58" t="s">
        <v>25</v>
      </c>
      <c r="B60" s="5">
        <f t="shared" si="1"/>
        <v>10650.223</v>
      </c>
      <c r="C60" s="8">
        <f>'3 квартал'!C60+'4 квартал'!C60</f>
        <v>10549.384</v>
      </c>
      <c r="D60" s="8">
        <f>'3 квартал'!D60+'4 квартал'!D60</f>
        <v>0</v>
      </c>
      <c r="E60" s="8">
        <f>'3 квартал'!E60+'4 квартал'!E60</f>
        <v>0</v>
      </c>
      <c r="F60" s="9">
        <f>'3 квартал'!F60+'4 квартал'!F60</f>
        <v>100.839</v>
      </c>
    </row>
    <row r="61" spans="1:6" s="2" customFormat="1" ht="21.75" customHeight="1">
      <c r="A61" s="15" t="s">
        <v>13</v>
      </c>
      <c r="B61" s="5">
        <f t="shared" si="1"/>
        <v>12899.556</v>
      </c>
      <c r="C61" s="8">
        <f>'3 квартал'!C61+'4 квартал'!C61</f>
        <v>12834.384</v>
      </c>
      <c r="D61" s="8">
        <f>'3 квартал'!D61+'4 квартал'!D61</f>
        <v>0</v>
      </c>
      <c r="E61" s="8">
        <f>'3 квартал'!E61+'4 квартал'!E61</f>
        <v>0</v>
      </c>
      <c r="F61" s="9">
        <f>'3 квартал'!F61+'4 квартал'!F61</f>
        <v>65.172</v>
      </c>
    </row>
    <row r="62" spans="1:6" s="2" customFormat="1" ht="16.5" customHeight="1">
      <c r="A62" s="15" t="s">
        <v>10</v>
      </c>
      <c r="B62" s="5">
        <f t="shared" si="1"/>
        <v>2295</v>
      </c>
      <c r="C62" s="8">
        <f>'3 квартал'!C62+'4 квартал'!C62</f>
        <v>2285</v>
      </c>
      <c r="D62" s="8">
        <f>'3 квартал'!D62+'4 квартал'!D62</f>
        <v>0</v>
      </c>
      <c r="E62" s="8">
        <f>'3 квартал'!E62+'4 квартал'!E62</f>
        <v>0</v>
      </c>
      <c r="F62" s="9">
        <f>'3 квартал'!F62+'4 квартал'!F62</f>
        <v>10</v>
      </c>
    </row>
    <row r="63" spans="1:6" s="2" customFormat="1" ht="18" customHeight="1">
      <c r="A63" s="15" t="s">
        <v>11</v>
      </c>
      <c r="B63" s="5">
        <f t="shared" si="1"/>
        <v>0</v>
      </c>
      <c r="C63" s="8">
        <f>'3 квартал'!C63+'4 квартал'!C63</f>
        <v>0</v>
      </c>
      <c r="D63" s="8">
        <f>'3 квартал'!D63+'4 квартал'!D63</f>
        <v>0</v>
      </c>
      <c r="E63" s="8">
        <f>'3 квартал'!E63+'4 квартал'!E63</f>
        <v>0</v>
      </c>
      <c r="F63" s="9">
        <f>'3 квартал'!F63+'4 квартал'!F63</f>
        <v>0</v>
      </c>
    </row>
    <row r="64" spans="1:6" s="2" customFormat="1" ht="18" customHeight="1">
      <c r="A64" s="15" t="s">
        <v>12</v>
      </c>
      <c r="B64" s="5">
        <f t="shared" si="1"/>
        <v>0</v>
      </c>
      <c r="C64" s="8">
        <f>'3 квартал'!C64+'4 квартал'!C64</f>
        <v>0</v>
      </c>
      <c r="D64" s="8">
        <f>'3 квартал'!D64+'4 квартал'!D64</f>
        <v>0</v>
      </c>
      <c r="E64" s="8">
        <f>'3 квартал'!E64+'4 квартал'!E64</f>
        <v>0</v>
      </c>
      <c r="F64" s="9">
        <f>'3 квартал'!F64+'4 квартал'!F64</f>
        <v>0</v>
      </c>
    </row>
    <row r="65" spans="1:6" s="2" customFormat="1" ht="24.75" customHeight="1">
      <c r="A65" s="58" t="s">
        <v>41</v>
      </c>
      <c r="B65" s="5">
        <f t="shared" si="1"/>
        <v>103.36</v>
      </c>
      <c r="C65" s="8">
        <f>'3 квартал'!C65+'4 квартал'!C65</f>
        <v>0</v>
      </c>
      <c r="D65" s="8">
        <f>'3 квартал'!D65+'4 квартал'!D65</f>
        <v>0</v>
      </c>
      <c r="E65" s="8">
        <f>'3 квартал'!E65+'4 квартал'!E65</f>
        <v>103.36</v>
      </c>
      <c r="F65" s="9">
        <f>'3 квартал'!F65+'4 квартал'!F65</f>
        <v>0</v>
      </c>
    </row>
    <row r="66" spans="1:6" s="2" customFormat="1" ht="21.75" customHeight="1">
      <c r="A66" s="15" t="s">
        <v>13</v>
      </c>
      <c r="B66" s="5">
        <f t="shared" si="1"/>
        <v>130.36</v>
      </c>
      <c r="C66" s="8">
        <f>'3 квартал'!C66+'4 квартал'!C66</f>
        <v>0</v>
      </c>
      <c r="D66" s="8">
        <f>'3 квартал'!D66+'4 квартал'!D66</f>
        <v>0</v>
      </c>
      <c r="E66" s="8">
        <f>'3 квартал'!E66+'4 квартал'!E66</f>
        <v>130.36</v>
      </c>
      <c r="F66" s="9">
        <f>'3 квартал'!F66+'4 квартал'!F66</f>
        <v>0</v>
      </c>
    </row>
    <row r="67" spans="1:6" s="2" customFormat="1" ht="18" customHeight="1">
      <c r="A67" s="15" t="s">
        <v>10</v>
      </c>
      <c r="B67" s="5">
        <f t="shared" si="1"/>
        <v>27</v>
      </c>
      <c r="C67" s="8">
        <f>'3 квартал'!C67+'4 квартал'!C67</f>
        <v>0</v>
      </c>
      <c r="D67" s="8">
        <f>'3 квартал'!D67+'4 квартал'!D67</f>
        <v>0</v>
      </c>
      <c r="E67" s="8">
        <f>'3 квартал'!E67+'4 квартал'!E67</f>
        <v>27</v>
      </c>
      <c r="F67" s="9">
        <f>'3 квартал'!F67+'4 квартал'!F67</f>
        <v>0</v>
      </c>
    </row>
    <row r="68" spans="1:6" s="2" customFormat="1" ht="19.5" customHeight="1">
      <c r="A68" s="15" t="s">
        <v>11</v>
      </c>
      <c r="B68" s="5">
        <f t="shared" si="1"/>
        <v>0</v>
      </c>
      <c r="C68" s="8">
        <f>'3 квартал'!C68+'4 квартал'!C68</f>
        <v>0</v>
      </c>
      <c r="D68" s="8">
        <f>'3 квартал'!D68+'4 квартал'!D68</f>
        <v>0</v>
      </c>
      <c r="E68" s="8">
        <f>'3 квартал'!E68+'4 квартал'!E68</f>
        <v>0</v>
      </c>
      <c r="F68" s="9">
        <f>'3 квартал'!F68+'4 квартал'!F68</f>
        <v>0</v>
      </c>
    </row>
    <row r="69" spans="1:6" s="2" customFormat="1" ht="19.5" customHeight="1">
      <c r="A69" s="15" t="s">
        <v>12</v>
      </c>
      <c r="B69" s="5">
        <f aca="true" t="shared" si="2" ref="B69:B86">C69+D69+E69+F69</f>
        <v>0</v>
      </c>
      <c r="C69" s="8">
        <f>'3 квартал'!C69+'4 квартал'!C69</f>
        <v>0</v>
      </c>
      <c r="D69" s="8">
        <f>'3 квартал'!D69+'4 квартал'!D69</f>
        <v>0</v>
      </c>
      <c r="E69" s="8">
        <f>'3 квартал'!E69+'4 квартал'!E69</f>
        <v>0</v>
      </c>
      <c r="F69" s="9">
        <f>'3 квартал'!F69+'4 квартал'!F69</f>
        <v>0</v>
      </c>
    </row>
    <row r="70" spans="1:6" s="6" customFormat="1" ht="36.75" customHeight="1">
      <c r="A70" s="58" t="s">
        <v>23</v>
      </c>
      <c r="B70" s="5">
        <f t="shared" si="2"/>
        <v>465.092</v>
      </c>
      <c r="C70" s="8">
        <f>'3 квартал'!C70+'4 квартал'!C70</f>
        <v>0</v>
      </c>
      <c r="D70" s="8">
        <f>'3 квартал'!D70+'4 квартал'!D70</f>
        <v>0</v>
      </c>
      <c r="E70" s="8">
        <f>'3 квартал'!E70+'4 квартал'!E70</f>
        <v>0</v>
      </c>
      <c r="F70" s="9">
        <f>'3 квартал'!F70+'4 квартал'!F70</f>
        <v>465.092</v>
      </c>
    </row>
    <row r="71" spans="1:6" s="3" customFormat="1" ht="18.75">
      <c r="A71" s="15" t="s">
        <v>13</v>
      </c>
      <c r="B71" s="5">
        <f t="shared" si="2"/>
        <v>142.173</v>
      </c>
      <c r="C71" s="8">
        <f>'3 квартал'!C71+'4 квартал'!C71</f>
        <v>0</v>
      </c>
      <c r="D71" s="8">
        <f>'3 квартал'!D71+'4 квартал'!D71</f>
        <v>0</v>
      </c>
      <c r="E71" s="8">
        <f>'3 квартал'!E71+'4 квартал'!E71</f>
        <v>0</v>
      </c>
      <c r="F71" s="9">
        <f>'3 квартал'!F71+'4 квартал'!F71</f>
        <v>142.173</v>
      </c>
    </row>
    <row r="72" spans="1:6" s="3" customFormat="1" ht="18.75">
      <c r="A72" s="15" t="s">
        <v>10</v>
      </c>
      <c r="B72" s="5">
        <f t="shared" si="2"/>
        <v>440.31</v>
      </c>
      <c r="C72" s="8">
        <f>'3 квартал'!C72+'4 квартал'!C72</f>
        <v>0</v>
      </c>
      <c r="D72" s="8">
        <f>'3 квартал'!D72+'4 квартал'!D72</f>
        <v>0</v>
      </c>
      <c r="E72" s="8">
        <f>'3 квартал'!E72+'4 квартал'!E72</f>
        <v>0</v>
      </c>
      <c r="F72" s="9">
        <f>'3 квартал'!F72+'4 квартал'!F72</f>
        <v>440.31</v>
      </c>
    </row>
    <row r="73" spans="1:6" s="33" customFormat="1" ht="23.25" customHeight="1">
      <c r="A73" s="15" t="s">
        <v>11</v>
      </c>
      <c r="B73" s="5">
        <f t="shared" si="2"/>
        <v>497.521</v>
      </c>
      <c r="C73" s="8">
        <f>'3 квартал'!C73+'4 квартал'!C73</f>
        <v>0</v>
      </c>
      <c r="D73" s="8">
        <f>'3 квартал'!D73+'4 квартал'!D73</f>
        <v>0</v>
      </c>
      <c r="E73" s="8">
        <f>'3 квартал'!E73+'4 квартал'!E73</f>
        <v>0</v>
      </c>
      <c r="F73" s="9">
        <f>'3 квартал'!F73+'4 квартал'!F73</f>
        <v>497.521</v>
      </c>
    </row>
    <row r="74" spans="1:6" s="33" customFormat="1" ht="23.25" customHeight="1">
      <c r="A74" s="15" t="s">
        <v>12</v>
      </c>
      <c r="B74" s="5">
        <f t="shared" si="2"/>
        <v>77.271</v>
      </c>
      <c r="C74" s="8">
        <f>'3 квартал'!C74+'4 квартал'!C74</f>
        <v>0</v>
      </c>
      <c r="D74" s="8">
        <f>'3 квартал'!D74+'4 квартал'!D74</f>
        <v>0</v>
      </c>
      <c r="E74" s="8">
        <f>'3 квартал'!E74+'4 квартал'!E74</f>
        <v>0</v>
      </c>
      <c r="F74" s="9">
        <f>'3 квартал'!F74+'4 квартал'!F74</f>
        <v>77.271</v>
      </c>
    </row>
    <row r="75" spans="1:6" s="33" customFormat="1" ht="43.5" customHeight="1">
      <c r="A75" s="58" t="s">
        <v>42</v>
      </c>
      <c r="B75" s="5">
        <f t="shared" si="2"/>
        <v>1246.644</v>
      </c>
      <c r="C75" s="8">
        <f>'3 квартал'!C75+'4 квартал'!C75</f>
        <v>0</v>
      </c>
      <c r="D75" s="8">
        <f>'3 квартал'!D75+'4 квартал'!D75</f>
        <v>0</v>
      </c>
      <c r="E75" s="8">
        <f>'3 квартал'!E75+'4 квартал'!E75</f>
        <v>87.02900000000001</v>
      </c>
      <c r="F75" s="9">
        <f>'3 квартал'!F75+'4 квартал'!F75</f>
        <v>1159.615</v>
      </c>
    </row>
    <row r="76" spans="1:6" s="33" customFormat="1" ht="23.25" customHeight="1">
      <c r="A76" s="15" t="s">
        <v>13</v>
      </c>
      <c r="B76" s="5">
        <f t="shared" si="2"/>
        <v>631.0029999999999</v>
      </c>
      <c r="C76" s="8">
        <f>'3 квартал'!C76+'4 квартал'!C76</f>
        <v>0</v>
      </c>
      <c r="D76" s="8">
        <f>'3 квартал'!D76+'4 квартал'!D76</f>
        <v>0</v>
      </c>
      <c r="E76" s="8">
        <f>'3 квартал'!E76+'4 квартал'!E76</f>
        <v>108.46300000000001</v>
      </c>
      <c r="F76" s="9">
        <f>'3 квартал'!F76+'4 квартал'!F76</f>
        <v>522.54</v>
      </c>
    </row>
    <row r="77" spans="1:6" s="33" customFormat="1" ht="23.25" customHeight="1">
      <c r="A77" s="15" t="s">
        <v>10</v>
      </c>
      <c r="B77" s="5">
        <f t="shared" si="2"/>
        <v>948.374</v>
      </c>
      <c r="C77" s="8">
        <f>'3 квартал'!C77+'4 квартал'!C77</f>
        <v>0</v>
      </c>
      <c r="D77" s="8">
        <f>'3 квартал'!D77+'4 квартал'!D77</f>
        <v>0</v>
      </c>
      <c r="E77" s="8">
        <f>'3 квартал'!E77+'4 квартал'!E77</f>
        <v>21.434</v>
      </c>
      <c r="F77" s="9">
        <f>'3 квартал'!F77+'4 квартал'!F77</f>
        <v>926.94</v>
      </c>
    </row>
    <row r="78" spans="1:6" s="33" customFormat="1" ht="23.25" customHeight="1">
      <c r="A78" s="15" t="s">
        <v>11</v>
      </c>
      <c r="B78" s="5">
        <f t="shared" si="2"/>
        <v>183.615</v>
      </c>
      <c r="C78" s="8">
        <f>'3 квартал'!C78+'4 квартал'!C78</f>
        <v>0</v>
      </c>
      <c r="D78" s="8">
        <f>'3 квартал'!D78+'4 квартал'!D78</f>
        <v>0</v>
      </c>
      <c r="E78" s="8">
        <f>'3 квартал'!E78+'4 квартал'!E78</f>
        <v>0</v>
      </c>
      <c r="F78" s="9">
        <f>'3 квартал'!F78+'4 квартал'!F78</f>
        <v>183.615</v>
      </c>
    </row>
    <row r="79" spans="1:6" s="33" customFormat="1" ht="23.25" customHeight="1">
      <c r="A79" s="15" t="s">
        <v>12</v>
      </c>
      <c r="B79" s="5">
        <f t="shared" si="2"/>
        <v>873.815</v>
      </c>
      <c r="C79" s="8">
        <f>'3 квартал'!C79+'4 квартал'!C79</f>
        <v>0</v>
      </c>
      <c r="D79" s="8">
        <f>'3 квартал'!D79+'4 квартал'!D79</f>
        <v>0</v>
      </c>
      <c r="E79" s="8">
        <f>'3 квартал'!E79+'4 квартал'!E79</f>
        <v>0</v>
      </c>
      <c r="F79" s="9">
        <f>'3 квартал'!F79+'4 квартал'!F79</f>
        <v>873.815</v>
      </c>
    </row>
    <row r="80" spans="1:6" s="33" customFormat="1" ht="23.25" customHeight="1">
      <c r="A80" s="58" t="s">
        <v>21</v>
      </c>
      <c r="B80" s="5">
        <f t="shared" si="2"/>
        <v>1930.981</v>
      </c>
      <c r="C80" s="8">
        <f>'3 квартал'!C80+'4 квартал'!C80</f>
        <v>0</v>
      </c>
      <c r="D80" s="8">
        <f>'3 квартал'!D80+'4 квартал'!D80</f>
        <v>0</v>
      </c>
      <c r="E80" s="8">
        <f>'3 квартал'!E80+'4 квартал'!E80</f>
        <v>1747.366</v>
      </c>
      <c r="F80" s="9">
        <f>'3 квартал'!F80+'4 квартал'!F80</f>
        <v>183.615</v>
      </c>
    </row>
    <row r="81" spans="1:6" s="33" customFormat="1" ht="25.5" customHeight="1">
      <c r="A81" s="15" t="s">
        <v>13</v>
      </c>
      <c r="B81" s="5">
        <f t="shared" si="2"/>
        <v>2110.034</v>
      </c>
      <c r="C81" s="8">
        <f>'3 квартал'!C81+'4 квартал'!C81</f>
        <v>0</v>
      </c>
      <c r="D81" s="8">
        <f>'3 квартал'!D81+'4 квартал'!D81</f>
        <v>0</v>
      </c>
      <c r="E81" s="8">
        <f>'3 квартал'!E81+'4 квартал'!E81</f>
        <v>2110.034</v>
      </c>
      <c r="F81" s="9">
        <f>'3 квартал'!F81+'4 квартал'!F81</f>
        <v>0</v>
      </c>
    </row>
    <row r="82" spans="1:6" s="33" customFormat="1" ht="25.5" customHeight="1">
      <c r="A82" s="15" t="s">
        <v>10</v>
      </c>
      <c r="B82" s="5">
        <f t="shared" si="2"/>
        <v>362.668</v>
      </c>
      <c r="C82" s="8">
        <f>'3 квартал'!C82+'4 квартал'!C82</f>
        <v>0</v>
      </c>
      <c r="D82" s="8">
        <f>'3 квартал'!D82+'4 квартал'!D82</f>
        <v>0</v>
      </c>
      <c r="E82" s="8">
        <f>'3 квартал'!E82+'4 квартал'!E82</f>
        <v>362.668</v>
      </c>
      <c r="F82" s="9">
        <f>'3 квартал'!F82+'4 квартал'!F82</f>
        <v>0</v>
      </c>
    </row>
    <row r="83" spans="1:6" s="3" customFormat="1" ht="18.75">
      <c r="A83" s="15" t="s">
        <v>11</v>
      </c>
      <c r="B83" s="5">
        <f t="shared" si="2"/>
        <v>0</v>
      </c>
      <c r="C83" s="8">
        <f>'3 квартал'!C83+'4 квартал'!C83</f>
        <v>0</v>
      </c>
      <c r="D83" s="8">
        <f>'3 квартал'!D83+'4 квартал'!D83</f>
        <v>0</v>
      </c>
      <c r="E83" s="8">
        <f>'3 квартал'!E83+'4 квартал'!E83</f>
        <v>0</v>
      </c>
      <c r="F83" s="9">
        <f>'3 квартал'!F83+'4 квартал'!F83</f>
        <v>0</v>
      </c>
    </row>
    <row r="84" spans="1:6" s="3" customFormat="1" ht="18.75">
      <c r="A84" s="15" t="s">
        <v>12</v>
      </c>
      <c r="B84" s="5">
        <f t="shared" si="2"/>
        <v>0</v>
      </c>
      <c r="C84" s="8">
        <f>'3 квартал'!C84+'4 квартал'!C84</f>
        <v>0</v>
      </c>
      <c r="D84" s="8">
        <f>'3 квартал'!D84+'4 квартал'!D84</f>
        <v>0</v>
      </c>
      <c r="E84" s="8">
        <f>'3 квартал'!E84+'4 квартал'!E84</f>
        <v>0</v>
      </c>
      <c r="F84" s="9">
        <f>'3 квартал'!F84+'4 квартал'!F84</f>
        <v>0</v>
      </c>
    </row>
    <row r="85" spans="1:6" s="3" customFormat="1" ht="36">
      <c r="A85" s="58" t="s">
        <v>22</v>
      </c>
      <c r="B85" s="5">
        <f t="shared" si="2"/>
        <v>2325.328</v>
      </c>
      <c r="C85" s="8">
        <f>'3 квартал'!C85+'4 квартал'!C85</f>
        <v>0</v>
      </c>
      <c r="D85" s="8">
        <f>'3 квартал'!D85+'4 квартал'!D85</f>
        <v>0</v>
      </c>
      <c r="E85" s="8">
        <f>'3 квартал'!E85+'4 квартал'!E85</f>
        <v>2325.328</v>
      </c>
      <c r="F85" s="9">
        <f>'3 квартал'!F85+'4 квартал'!F85</f>
        <v>0</v>
      </c>
    </row>
    <row r="86" spans="1:6" s="3" customFormat="1" ht="18.75">
      <c r="A86" s="15" t="s">
        <v>13</v>
      </c>
      <c r="B86" s="5">
        <f t="shared" si="2"/>
        <v>3031.794</v>
      </c>
      <c r="C86" s="8">
        <f>'3 квартал'!C86+'4 квартал'!C86</f>
        <v>0</v>
      </c>
      <c r="D86" s="8">
        <f>'3 квартал'!D86+'4 квартал'!D86</f>
        <v>0</v>
      </c>
      <c r="E86" s="8">
        <f>'3 квартал'!E86+'4 квартал'!E86</f>
        <v>3031.794</v>
      </c>
      <c r="F86" s="9">
        <f>'3 квартал'!F86+'4 квартал'!F86</f>
        <v>0</v>
      </c>
    </row>
    <row r="87" spans="1:6" s="3" customFormat="1" ht="18.75">
      <c r="A87" s="15" t="s">
        <v>10</v>
      </c>
      <c r="B87" s="5">
        <f aca="true" t="shared" si="3" ref="B87:B114">C87+D87+E87+F87</f>
        <v>706.466</v>
      </c>
      <c r="C87" s="8">
        <f>'3 квартал'!C87+'4 квартал'!C87</f>
        <v>0</v>
      </c>
      <c r="D87" s="8">
        <f>'3 квартал'!D87+'4 квартал'!D87</f>
        <v>0</v>
      </c>
      <c r="E87" s="8">
        <f>'3 квартал'!E87+'4 квартал'!E87</f>
        <v>706.466</v>
      </c>
      <c r="F87" s="9">
        <f>'3 квартал'!F87+'4 квартал'!F87</f>
        <v>0</v>
      </c>
    </row>
    <row r="88" spans="1:6" s="3" customFormat="1" ht="18.75">
      <c r="A88" s="15" t="s">
        <v>11</v>
      </c>
      <c r="B88" s="5">
        <f t="shared" si="3"/>
        <v>0</v>
      </c>
      <c r="C88" s="8">
        <f>'3 квартал'!C88+'4 квартал'!C88</f>
        <v>0</v>
      </c>
      <c r="D88" s="8">
        <f>'3 квартал'!D88+'4 квартал'!D88</f>
        <v>0</v>
      </c>
      <c r="E88" s="8">
        <f>'3 квартал'!E88+'4 квартал'!E88</f>
        <v>0</v>
      </c>
      <c r="F88" s="9">
        <f>'3 квартал'!F88+'4 квартал'!F88</f>
        <v>0</v>
      </c>
    </row>
    <row r="89" spans="1:6" s="3" customFormat="1" ht="18.75">
      <c r="A89" s="15" t="s">
        <v>12</v>
      </c>
      <c r="B89" s="5">
        <f t="shared" si="3"/>
        <v>0</v>
      </c>
      <c r="C89" s="8">
        <f>'3 квартал'!C89+'4 квартал'!C89</f>
        <v>0</v>
      </c>
      <c r="D89" s="8">
        <f>'3 квартал'!D89+'4 квартал'!D89</f>
        <v>0</v>
      </c>
      <c r="E89" s="8">
        <f>'3 квартал'!E89+'4 квартал'!E89</f>
        <v>0</v>
      </c>
      <c r="F89" s="9">
        <f>'3 квартал'!F89+'4 квартал'!F89</f>
        <v>0</v>
      </c>
    </row>
    <row r="90" spans="1:6" s="3" customFormat="1" ht="18">
      <c r="A90" s="58" t="s">
        <v>49</v>
      </c>
      <c r="B90" s="5">
        <f t="shared" si="3"/>
        <v>0</v>
      </c>
      <c r="C90" s="8">
        <f>'3 квартал'!C90+'4 квартал'!C90</f>
        <v>0</v>
      </c>
      <c r="D90" s="8">
        <f>'3 квартал'!D90+'4 квартал'!D90</f>
        <v>0</v>
      </c>
      <c r="E90" s="8">
        <f>'3 квартал'!E90+'4 квартал'!E90</f>
        <v>0</v>
      </c>
      <c r="F90" s="9">
        <f>'3 квартал'!F90+'4 квартал'!F90</f>
        <v>0</v>
      </c>
    </row>
    <row r="91" spans="1:6" s="3" customFormat="1" ht="18.75">
      <c r="A91" s="15" t="s">
        <v>13</v>
      </c>
      <c r="B91" s="5">
        <f t="shared" si="3"/>
        <v>0</v>
      </c>
      <c r="C91" s="8">
        <f>'3 квартал'!C91+'4 квартал'!C91</f>
        <v>0</v>
      </c>
      <c r="D91" s="8">
        <f>'3 квартал'!D91+'4 квартал'!D91</f>
        <v>0</v>
      </c>
      <c r="E91" s="8">
        <f>'3 квартал'!E91+'4 квартал'!E91</f>
        <v>0</v>
      </c>
      <c r="F91" s="9">
        <f>'3 квартал'!F91+'4 квартал'!F91</f>
        <v>0</v>
      </c>
    </row>
    <row r="92" spans="1:6" s="3" customFormat="1" ht="18.75">
      <c r="A92" s="15" t="s">
        <v>10</v>
      </c>
      <c r="B92" s="5">
        <f t="shared" si="3"/>
        <v>0</v>
      </c>
      <c r="C92" s="8">
        <f>'3 квартал'!C92+'4 квартал'!C92</f>
        <v>0</v>
      </c>
      <c r="D92" s="8">
        <f>'3 квартал'!D92+'4 квартал'!D92</f>
        <v>0</v>
      </c>
      <c r="E92" s="8">
        <f>'3 квартал'!E92+'4 квартал'!E92</f>
        <v>0</v>
      </c>
      <c r="F92" s="9">
        <f>'3 квартал'!F92+'4 квартал'!F92</f>
        <v>0</v>
      </c>
    </row>
    <row r="93" spans="1:6" s="3" customFormat="1" ht="18.75">
      <c r="A93" s="15" t="s">
        <v>11</v>
      </c>
      <c r="B93" s="5">
        <f t="shared" si="3"/>
        <v>0</v>
      </c>
      <c r="C93" s="8">
        <f>'3 квартал'!C93+'4 квартал'!C93</f>
        <v>0</v>
      </c>
      <c r="D93" s="8">
        <f>'3 квартал'!D93+'4 квартал'!D93</f>
        <v>0</v>
      </c>
      <c r="E93" s="8">
        <f>'3 квартал'!E93+'4 квартал'!E93</f>
        <v>0</v>
      </c>
      <c r="F93" s="9">
        <f>'3 квартал'!F93+'4 квартал'!F93</f>
        <v>0</v>
      </c>
    </row>
    <row r="94" spans="1:6" s="3" customFormat="1" ht="18.75">
      <c r="A94" s="15" t="s">
        <v>12</v>
      </c>
      <c r="B94" s="5">
        <f t="shared" si="3"/>
        <v>0</v>
      </c>
      <c r="C94" s="8">
        <f>'3 квартал'!C94+'4 квартал'!C94</f>
        <v>0</v>
      </c>
      <c r="D94" s="8">
        <f>'3 квартал'!D94+'4 квартал'!D94</f>
        <v>0</v>
      </c>
      <c r="E94" s="8">
        <f>'3 квартал'!E94+'4 квартал'!E94</f>
        <v>0</v>
      </c>
      <c r="F94" s="9">
        <f>'3 квартал'!F94+'4 квартал'!F94</f>
        <v>0</v>
      </c>
    </row>
    <row r="95" spans="1:6" s="3" customFormat="1" ht="18">
      <c r="A95" s="58" t="s">
        <v>70</v>
      </c>
      <c r="B95" s="5">
        <f t="shared" si="3"/>
        <v>612.0730000000001</v>
      </c>
      <c r="C95" s="8">
        <f>'3 квартал'!C95+'4 квартал'!C95</f>
        <v>0</v>
      </c>
      <c r="D95" s="8">
        <f>'3 квартал'!D95+'4 квартал'!D95</f>
        <v>0</v>
      </c>
      <c r="E95" s="8">
        <f>'3 квартал'!E95+'4 квартал'!E95</f>
        <v>612.0730000000001</v>
      </c>
      <c r="F95" s="9">
        <f>'3 квартал'!F95+'4 квартал'!F95</f>
        <v>0</v>
      </c>
    </row>
    <row r="96" spans="1:6" s="3" customFormat="1" ht="18.75">
      <c r="A96" s="15" t="s">
        <v>13</v>
      </c>
      <c r="B96" s="5">
        <f t="shared" si="3"/>
        <v>496.477</v>
      </c>
      <c r="C96" s="8">
        <f>'3 квартал'!C96+'4 квартал'!C96</f>
        <v>0</v>
      </c>
      <c r="D96" s="8">
        <f>'3 квартал'!D96+'4 квартал'!D96</f>
        <v>0</v>
      </c>
      <c r="E96" s="8">
        <f>'3 квартал'!E96+'4 квартал'!E96</f>
        <v>496.477</v>
      </c>
      <c r="F96" s="9">
        <f>'3 квартал'!F96+'4 квартал'!F96</f>
        <v>0</v>
      </c>
    </row>
    <row r="97" spans="1:6" s="3" customFormat="1" ht="18.75">
      <c r="A97" s="15" t="s">
        <v>10</v>
      </c>
      <c r="B97" s="5">
        <f t="shared" si="3"/>
        <v>245.596</v>
      </c>
      <c r="C97" s="8">
        <f>'3 квартал'!C97+'4 квартал'!C97</f>
        <v>0</v>
      </c>
      <c r="D97" s="8">
        <f>'3 квартал'!D97+'4 квартал'!D97</f>
        <v>0</v>
      </c>
      <c r="E97" s="8">
        <f>'3 квартал'!E97+'4 квартал'!E97</f>
        <v>245.596</v>
      </c>
      <c r="F97" s="9">
        <f>'3 квартал'!F97+'4 квартал'!F97</f>
        <v>0</v>
      </c>
    </row>
    <row r="98" spans="1:6" s="3" customFormat="1" ht="18.75">
      <c r="A98" s="15" t="s">
        <v>11</v>
      </c>
      <c r="B98" s="5">
        <f t="shared" si="3"/>
        <v>180.596</v>
      </c>
      <c r="C98" s="8">
        <f>'3 квартал'!C98+'4 квартал'!C98</f>
        <v>0</v>
      </c>
      <c r="D98" s="8">
        <f>'3 квартал'!D98+'4 квартал'!D98</f>
        <v>0</v>
      </c>
      <c r="E98" s="8">
        <f>'3 квартал'!E98+'4 квартал'!E98</f>
        <v>180.596</v>
      </c>
      <c r="F98" s="9">
        <f>'3 квартал'!F98+'4 квартал'!F98</f>
        <v>0</v>
      </c>
    </row>
    <row r="99" spans="1:6" s="3" customFormat="1" ht="25.5" customHeight="1">
      <c r="A99" s="15" t="s">
        <v>12</v>
      </c>
      <c r="B99" s="5">
        <f t="shared" si="3"/>
        <v>0</v>
      </c>
      <c r="C99" s="8">
        <f>'3 квартал'!C99+'4 квартал'!C99</f>
        <v>0</v>
      </c>
      <c r="D99" s="8">
        <f>'3 квартал'!D99+'4 квартал'!D99</f>
        <v>0</v>
      </c>
      <c r="E99" s="8">
        <f>'3 квартал'!E99+'4 квартал'!E99</f>
        <v>0</v>
      </c>
      <c r="F99" s="9">
        <f>'3 квартал'!F99+'4 квартал'!F99</f>
        <v>0</v>
      </c>
    </row>
    <row r="100" spans="1:6" s="3" customFormat="1" ht="18">
      <c r="A100" s="58" t="s">
        <v>8</v>
      </c>
      <c r="B100" s="5">
        <f t="shared" si="3"/>
        <v>7713.1759999999995</v>
      </c>
      <c r="C100" s="8">
        <f>'3 квартал'!C100+'4 квартал'!C100</f>
        <v>0</v>
      </c>
      <c r="D100" s="8">
        <f>'3 квартал'!D100+'4 квартал'!D100</f>
        <v>0</v>
      </c>
      <c r="E100" s="8">
        <f>'3 квартал'!E100+'4 квартал'!E100</f>
        <v>3870.9269999999997</v>
      </c>
      <c r="F100" s="9">
        <f>'3 квартал'!F100+'4 квартал'!F100</f>
        <v>3842.249</v>
      </c>
    </row>
    <row r="101" spans="1:6" s="3" customFormat="1" ht="18.75">
      <c r="A101" s="15" t="s">
        <v>13</v>
      </c>
      <c r="B101" s="5">
        <f t="shared" si="3"/>
        <v>5792.124</v>
      </c>
      <c r="C101" s="8">
        <f>'3 квартал'!C101+'4 квартал'!C101</f>
        <v>0</v>
      </c>
      <c r="D101" s="8">
        <f>'3 квартал'!D101+'4 квартал'!D101</f>
        <v>0</v>
      </c>
      <c r="E101" s="8">
        <f>'3 квартал'!E101+'4 квартал'!E101</f>
        <v>4137.348</v>
      </c>
      <c r="F101" s="9">
        <f>'3 квартал'!F101+'4 квартал'!F101</f>
        <v>1654.7759999999998</v>
      </c>
    </row>
    <row r="102" spans="1:6" s="3" customFormat="1" ht="18.75">
      <c r="A102" s="15" t="s">
        <v>10</v>
      </c>
      <c r="B102" s="5">
        <f t="shared" si="3"/>
        <v>4978.875</v>
      </c>
      <c r="C102" s="8">
        <f>'3 квартал'!C102+'4 квартал'!C102</f>
        <v>0</v>
      </c>
      <c r="D102" s="8">
        <f>'3 квартал'!D102+'4 квартал'!D102</f>
        <v>0</v>
      </c>
      <c r="E102" s="8">
        <f>'3 квартал'!E102+'4 квартал'!E102</f>
        <v>1760.29</v>
      </c>
      <c r="F102" s="9">
        <f>'3 квартал'!F102+'4 квартал'!F102</f>
        <v>3218.5849999999996</v>
      </c>
    </row>
    <row r="103" spans="1:6" s="3" customFormat="1" ht="18.75">
      <c r="A103" s="15" t="s">
        <v>11</v>
      </c>
      <c r="B103" s="5">
        <f t="shared" si="3"/>
        <v>3769.894</v>
      </c>
      <c r="C103" s="8">
        <f>'3 квартал'!C103+'4 квартал'!C103</f>
        <v>0</v>
      </c>
      <c r="D103" s="8">
        <f>'3 квартал'!D103+'4 квартал'!D103</f>
        <v>0</v>
      </c>
      <c r="E103" s="8">
        <f>'3 квартал'!E103+'4 квартал'!E103</f>
        <v>976.792</v>
      </c>
      <c r="F103" s="9">
        <f>'3 квартал'!F103+'4 квартал'!F103</f>
        <v>2793.102</v>
      </c>
    </row>
    <row r="104" spans="1:6" s="3" customFormat="1" ht="18.75">
      <c r="A104" s="15" t="s">
        <v>12</v>
      </c>
      <c r="B104" s="5">
        <f t="shared" si="3"/>
        <v>1408.537</v>
      </c>
      <c r="C104" s="8">
        <f>'3 квартал'!C104+'4 квартал'!C104</f>
        <v>0</v>
      </c>
      <c r="D104" s="8">
        <f>'3 квартал'!D104+'4 квартал'!D104</f>
        <v>0</v>
      </c>
      <c r="E104" s="8">
        <f>'3 квартал'!E104+'4 квартал'!E104</f>
        <v>221.70399999999998</v>
      </c>
      <c r="F104" s="9">
        <f>'3 квартал'!F104+'4 квартал'!F104</f>
        <v>1186.833</v>
      </c>
    </row>
    <row r="105" spans="1:6" s="3" customFormat="1" ht="18">
      <c r="A105" s="58" t="s">
        <v>5</v>
      </c>
      <c r="B105" s="5" t="e">
        <f t="shared" si="3"/>
        <v>#REF!</v>
      </c>
      <c r="C105" s="8" t="e">
        <f>'3 квартал'!C105+'4 квартал'!C105</f>
        <v>#REF!</v>
      </c>
      <c r="D105" s="8" t="e">
        <f>'3 квартал'!D105+'4 квартал'!D105</f>
        <v>#REF!</v>
      </c>
      <c r="E105" s="8" t="e">
        <f>'3 квартал'!E105+'4 квартал'!E105</f>
        <v>#REF!</v>
      </c>
      <c r="F105" s="9" t="e">
        <f>'3 квартал'!F105+'4 квартал'!F105</f>
        <v>#REF!</v>
      </c>
    </row>
    <row r="106" spans="1:6" s="3" customFormat="1" ht="18.75">
      <c r="A106" s="15" t="s">
        <v>13</v>
      </c>
      <c r="B106" s="5">
        <f t="shared" si="3"/>
        <v>15683.587000000003</v>
      </c>
      <c r="C106" s="8">
        <f>'3 квартал'!C106+'4 квартал'!C106</f>
        <v>2051.9700000000003</v>
      </c>
      <c r="D106" s="8">
        <f>'3 квартал'!D106+'4 квартал'!D106</f>
        <v>0</v>
      </c>
      <c r="E106" s="8">
        <f>'3 квартал'!E106+'4 квартал'!E106</f>
        <v>10505.329000000002</v>
      </c>
      <c r="F106" s="9">
        <f>'3 квартал'!F106+'4 квартал'!F106</f>
        <v>3126.2879999999996</v>
      </c>
    </row>
    <row r="107" spans="1:6" s="3" customFormat="1" ht="18.75">
      <c r="A107" s="15" t="s">
        <v>10</v>
      </c>
      <c r="B107" s="5">
        <f t="shared" si="3"/>
        <v>9126.697</v>
      </c>
      <c r="C107" s="8">
        <f>'3 квартал'!C107+'4 квартал'!C107</f>
        <v>757.767</v>
      </c>
      <c r="D107" s="8">
        <f>'3 квартал'!D107+'4 квартал'!D107</f>
        <v>0</v>
      </c>
      <c r="E107" s="8">
        <f>'3 квартал'!E107+'4 квартал'!E107</f>
        <v>5415.343</v>
      </c>
      <c r="F107" s="9">
        <f>'3 квартал'!F107+'4 квартал'!F107</f>
        <v>2953.5870000000004</v>
      </c>
    </row>
    <row r="108" spans="1:6" s="3" customFormat="1" ht="18.75">
      <c r="A108" s="15" t="s">
        <v>11</v>
      </c>
      <c r="B108" s="5">
        <f t="shared" si="3"/>
        <v>6308.99</v>
      </c>
      <c r="C108" s="8">
        <f>'3 квартал'!C108+'4 квартал'!C108</f>
        <v>0</v>
      </c>
      <c r="D108" s="8">
        <f>'3 квартал'!D108+'4 квартал'!D108</f>
        <v>0</v>
      </c>
      <c r="E108" s="8">
        <f>'3 квартал'!E108+'4 квартал'!E108</f>
        <v>2929.158</v>
      </c>
      <c r="F108" s="9">
        <f>'3 квартал'!F108+'4 квартал'!F108</f>
        <v>3379.8320000000003</v>
      </c>
    </row>
    <row r="109" spans="1:6" ht="18.75">
      <c r="A109" s="15" t="s">
        <v>12</v>
      </c>
      <c r="B109" s="5">
        <f t="shared" si="3"/>
        <v>2551.276</v>
      </c>
      <c r="C109" s="8">
        <f>'3 квартал'!C109+'4 квартал'!C109</f>
        <v>0</v>
      </c>
      <c r="D109" s="8">
        <f>'3 квартал'!D109+'4 квартал'!D109</f>
        <v>0</v>
      </c>
      <c r="E109" s="8">
        <f>'3 квартал'!E109+'4 квартал'!E109</f>
        <v>1133.282</v>
      </c>
      <c r="F109" s="9">
        <f>'3 квартал'!F109+'4 квартал'!F109</f>
        <v>1417.9940000000001</v>
      </c>
    </row>
    <row r="110" spans="1:6" ht="36">
      <c r="A110" s="58" t="s">
        <v>43</v>
      </c>
      <c r="B110" s="5">
        <f t="shared" si="3"/>
        <v>22087.790999999997</v>
      </c>
      <c r="C110" s="8">
        <f>'3 квартал'!C110+'4 квартал'!C110</f>
        <v>0</v>
      </c>
      <c r="D110" s="8">
        <f>'3 квартал'!D110+'4 квартал'!D110</f>
        <v>0</v>
      </c>
      <c r="E110" s="8">
        <f>'3 квартал'!E110+'4 квартал'!E110</f>
        <v>4917.794</v>
      </c>
      <c r="F110" s="9">
        <f>'3 квартал'!F110+'4 квартал'!F110</f>
        <v>17169.997</v>
      </c>
    </row>
    <row r="111" spans="1:6" ht="18.75">
      <c r="A111" s="15" t="s">
        <v>13</v>
      </c>
      <c r="B111" s="5" t="e">
        <f t="shared" si="3"/>
        <v>#REF!</v>
      </c>
      <c r="C111" s="8">
        <f>'3 квартал'!C111+'4 квартал'!C111</f>
        <v>0</v>
      </c>
      <c r="D111" s="8">
        <f>'3 квартал'!D111+'4 квартал'!D111</f>
        <v>0</v>
      </c>
      <c r="E111" s="8" t="e">
        <f>'3 квартал'!E111+'4 квартал'!E111</f>
        <v>#REF!</v>
      </c>
      <c r="F111" s="9" t="e">
        <f>'3 квартал'!F111+'4 квартал'!F111</f>
        <v>#REF!</v>
      </c>
    </row>
    <row r="112" spans="1:6" ht="18.75">
      <c r="A112" s="15" t="s">
        <v>10</v>
      </c>
      <c r="B112" s="5">
        <f t="shared" si="3"/>
        <v>21813.445</v>
      </c>
      <c r="C112" s="8">
        <f>'3 квартал'!C112+'4 квартал'!C112</f>
        <v>0</v>
      </c>
      <c r="D112" s="8">
        <f>'3 квартал'!D112+'4 квартал'!D112</f>
        <v>0</v>
      </c>
      <c r="E112" s="8">
        <f>'3 квартал'!E112+'4 квартал'!E112</f>
        <v>3056.097</v>
      </c>
      <c r="F112" s="9">
        <f>'3 квартал'!F112+'4 квартал'!F112</f>
        <v>18757.347999999998</v>
      </c>
    </row>
    <row r="113" spans="1:6" ht="18.75">
      <c r="A113" s="15" t="s">
        <v>11</v>
      </c>
      <c r="B113" s="5">
        <f t="shared" si="3"/>
        <v>7465.943</v>
      </c>
      <c r="C113" s="8">
        <f>'3 квартал'!C113+'4 квартал'!C113</f>
        <v>0</v>
      </c>
      <c r="D113" s="8">
        <f>'3 квартал'!D113+'4 квартал'!D113</f>
        <v>0</v>
      </c>
      <c r="E113" s="8">
        <f>'3 квартал'!E113+'4 квартал'!E113</f>
        <v>1449.085</v>
      </c>
      <c r="F113" s="9">
        <f>'3 квартал'!F113+'4 квартал'!F113</f>
        <v>6016.858</v>
      </c>
    </row>
    <row r="114" spans="1:6" ht="19.5" thickBot="1">
      <c r="A114" s="16" t="s">
        <v>12</v>
      </c>
      <c r="B114" s="29">
        <f t="shared" si="3"/>
        <v>15103.58</v>
      </c>
      <c r="C114" s="19">
        <f>'3 квартал'!C114+'4 квартал'!C114</f>
        <v>0</v>
      </c>
      <c r="D114" s="19">
        <f>'3 квартал'!D114+'4 квартал'!D114</f>
        <v>0</v>
      </c>
      <c r="E114" s="19">
        <f>'3 квартал'!E114+'4 квартал'!E114</f>
        <v>161.077</v>
      </c>
      <c r="F114" s="184">
        <f>'3 квартал'!F114+'4 квартал'!F114</f>
        <v>14942.503</v>
      </c>
    </row>
    <row r="115" spans="1:6" ht="18.75" thickBot="1">
      <c r="A115" s="172"/>
      <c r="B115" s="20"/>
      <c r="C115" s="25"/>
      <c r="D115" s="25"/>
      <c r="E115" s="25"/>
      <c r="F115" s="25"/>
    </row>
    <row r="116" spans="1:6" ht="24" thickBot="1">
      <c r="A116" s="163" t="s">
        <v>72</v>
      </c>
      <c r="B116" s="113" t="e">
        <f>C116+D116+E116+F116</f>
        <v>#REF!</v>
      </c>
      <c r="C116" s="118" t="e">
        <f>C110+C105+C100+C95+C90+C85+C80+C75+C70+C65+C60+C55+C50+C45+C40+C35+C30+C25+C20+C15+C10+C5</f>
        <v>#REF!</v>
      </c>
      <c r="D116" s="118" t="e">
        <f>D110+D105+D100+D95+D90+D85+D80+D75+D70+D65+D60+D55+D50+D45+D40+D35+D30+D25+D20+D15+D10+D5</f>
        <v>#REF!</v>
      </c>
      <c r="E116" s="118" t="e">
        <f>E110+E105+E100+E95+E90+E85+E80+E75+E70+E65+E60+E55+E50+E45+E40+E35+E30+E25+E20+E15+E10+E5</f>
        <v>#REF!</v>
      </c>
      <c r="F116" s="118" t="e">
        <f>F110+F105+F100+F95+F90+F85+F80+F75+F70+F65+F60+F55+F50+F45+F40+F35+F30+F25+F20+F15+F10+F5</f>
        <v>#REF!</v>
      </c>
    </row>
    <row r="117" spans="1:6" ht="18">
      <c r="A117" s="176"/>
      <c r="B117" s="20"/>
      <c r="C117" s="25"/>
      <c r="D117" s="25"/>
      <c r="E117" s="25"/>
      <c r="F117" s="25"/>
    </row>
    <row r="118" spans="1:6" ht="18">
      <c r="A118" s="176"/>
      <c r="B118" s="20"/>
      <c r="C118" s="25"/>
      <c r="D118" s="25"/>
      <c r="E118" s="25"/>
      <c r="F118" s="25"/>
    </row>
    <row r="119" spans="2:6" ht="18">
      <c r="B119" s="20"/>
      <c r="C119" s="25"/>
      <c r="D119" s="25"/>
      <c r="E119" s="25"/>
      <c r="F119" s="25"/>
    </row>
    <row r="120" spans="2:6" ht="12.75">
      <c r="B120" s="20"/>
      <c r="C120" s="20"/>
      <c r="D120" s="20"/>
      <c r="E120" s="20"/>
      <c r="F120" s="20"/>
    </row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3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18"/>
  <sheetViews>
    <sheetView zoomScale="60" zoomScaleNormal="60" zoomScalePageLayoutView="0" workbookViewId="0" topLeftCell="A1">
      <pane xSplit="1" ySplit="4" topLeftCell="B6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2" sqref="E12:F12"/>
    </sheetView>
  </sheetViews>
  <sheetFormatPr defaultColWidth="9.00390625" defaultRowHeight="12.75"/>
  <cols>
    <col min="1" max="1" width="59.125" style="0" customWidth="1"/>
    <col min="2" max="6" width="26.625" style="0" customWidth="1"/>
    <col min="7" max="7" width="21.375" style="0" customWidth="1"/>
    <col min="8" max="8" width="23.625" style="0" customWidth="1"/>
    <col min="9" max="9" width="17.75390625" style="0" customWidth="1"/>
    <col min="10" max="10" width="20.125" style="0" customWidth="1"/>
    <col min="11" max="12" width="17.75390625" style="0" customWidth="1"/>
    <col min="13" max="14" width="17.25390625" style="0" customWidth="1"/>
  </cols>
  <sheetData>
    <row r="1" spans="1:6" s="33" customFormat="1" ht="23.25">
      <c r="A1" s="185" t="s">
        <v>29</v>
      </c>
      <c r="B1" s="185"/>
      <c r="C1" s="185"/>
      <c r="D1" s="185"/>
      <c r="E1" s="185"/>
      <c r="F1" s="185"/>
    </row>
    <row r="2" spans="1:6" s="37" customFormat="1" ht="23.25">
      <c r="A2" s="186" t="s">
        <v>68</v>
      </c>
      <c r="B2" s="186"/>
      <c r="C2" s="186"/>
      <c r="D2" s="187"/>
      <c r="E2" s="187"/>
      <c r="F2" s="187"/>
    </row>
    <row r="3" s="3" customFormat="1" ht="18.75" thickBot="1">
      <c r="F3" s="56" t="s">
        <v>28</v>
      </c>
    </row>
    <row r="4" spans="1:6" s="1" customFormat="1" ht="29.25" customHeight="1" thickBot="1">
      <c r="A4" s="38" t="s">
        <v>34</v>
      </c>
      <c r="B4" s="53"/>
      <c r="C4" s="42" t="s">
        <v>0</v>
      </c>
      <c r="D4" s="42" t="s">
        <v>1</v>
      </c>
      <c r="E4" s="42" t="s">
        <v>2</v>
      </c>
      <c r="F4" s="43" t="s">
        <v>3</v>
      </c>
    </row>
    <row r="5" spans="1:6" s="2" customFormat="1" ht="39.75" customHeight="1">
      <c r="A5" s="57" t="s">
        <v>35</v>
      </c>
      <c r="B5" s="44">
        <f aca="true" t="shared" si="0" ref="B5:B68">C5+D5+E5+F5</f>
        <v>949362.4459999999</v>
      </c>
      <c r="C5" s="74">
        <f>C6+C7</f>
        <v>387171.93299999996</v>
      </c>
      <c r="D5" s="74">
        <f>D6+D7</f>
        <v>15191.753999999999</v>
      </c>
      <c r="E5" s="74">
        <f>E6+E7</f>
        <v>242293.752</v>
      </c>
      <c r="F5" s="75">
        <f>F6+F7</f>
        <v>304705.00699999987</v>
      </c>
    </row>
    <row r="6" spans="1:6" s="2" customFormat="1" ht="27" customHeight="1">
      <c r="A6" s="97" t="s">
        <v>47</v>
      </c>
      <c r="B6" s="5">
        <f t="shared" si="0"/>
        <v>748849.6769999998</v>
      </c>
      <c r="C6" s="8">
        <f>'1 квартал'!C6+'2 квартал'!C6+'3 квартал'!C6+'4 квартал'!C6</f>
        <v>386745.99399999995</v>
      </c>
      <c r="D6" s="8">
        <f>'1 квартал'!D6+'2 квартал'!D6+'3 квартал'!D6+'4 квартал'!D6</f>
        <v>15174.694</v>
      </c>
      <c r="E6" s="8">
        <f>'1 квартал'!E6+'2 квартал'!E6+'3 квартал'!E6+'4 квартал'!E6</f>
        <v>231528.465</v>
      </c>
      <c r="F6" s="9">
        <f>'1 квартал'!F6+'2 квартал'!F6+'3 квартал'!F6+'4 квартал'!F6</f>
        <v>115400.52399999989</v>
      </c>
    </row>
    <row r="7" spans="1:6" s="2" customFormat="1" ht="20.25" customHeight="1">
      <c r="A7" s="15" t="s">
        <v>10</v>
      </c>
      <c r="B7" s="5">
        <f t="shared" si="0"/>
        <v>200512.769</v>
      </c>
      <c r="C7" s="8">
        <f>'1 квартал'!C7+'2 квартал'!C7+'3 квартал'!C7+'4 квартал'!C7</f>
        <v>425.93899999999996</v>
      </c>
      <c r="D7" s="8">
        <f>'1 квартал'!D7+'2 квартал'!D7+'3 квартал'!D7+'4 квартал'!D7</f>
        <v>17.060000000000002</v>
      </c>
      <c r="E7" s="8">
        <f>'1 квартал'!E7+'2 квартал'!E7+'3 квартал'!E7+'4 квартал'!E7</f>
        <v>10765.287</v>
      </c>
      <c r="F7" s="9">
        <f>'1 квартал'!F7+'2 квартал'!F7+'3 квартал'!F7+'4 квартал'!F7</f>
        <v>189304.483</v>
      </c>
    </row>
    <row r="8" spans="1:6" s="2" customFormat="1" ht="21.75" customHeight="1">
      <c r="A8" s="15" t="s">
        <v>11</v>
      </c>
      <c r="B8" s="5">
        <f t="shared" si="0"/>
        <v>57572.92</v>
      </c>
      <c r="C8" s="8">
        <f>'1 квартал'!C8+'2 квартал'!C8+'3 квартал'!C8+'4 квартал'!C8</f>
        <v>190.851</v>
      </c>
      <c r="D8" s="8">
        <f>'1 квартал'!D8+'2 квартал'!D8+'3 квартал'!D8+'4 квартал'!D8</f>
        <v>0</v>
      </c>
      <c r="E8" s="8">
        <f>'1 квартал'!E8+'2 квартал'!E8+'3 квартал'!E8+'4 квартал'!E8</f>
        <v>2217.039</v>
      </c>
      <c r="F8" s="9">
        <f>'1 квартал'!F8+'2 квартал'!F8+'3 квартал'!F8+'4 квартал'!F8</f>
        <v>55165.03</v>
      </c>
    </row>
    <row r="9" spans="1:6" s="2" customFormat="1" ht="24.75" customHeight="1">
      <c r="A9" s="15" t="s">
        <v>12</v>
      </c>
      <c r="B9" s="5">
        <f t="shared" si="0"/>
        <v>142939.84900000002</v>
      </c>
      <c r="C9" s="8">
        <f>'1 квартал'!C9+'2 квартал'!C9+'3 квартал'!C9+'4 квартал'!C9</f>
        <v>235.08800000000002</v>
      </c>
      <c r="D9" s="8">
        <f>'1 квартал'!D9+'2 квартал'!D9+'3 квартал'!D9+'4 квартал'!D9</f>
        <v>17.060000000000002</v>
      </c>
      <c r="E9" s="8">
        <f>'1 квартал'!E9+'2 квартал'!E9+'3 квартал'!E9+'4 квартал'!E9</f>
        <v>8548.248</v>
      </c>
      <c r="F9" s="9">
        <f>'1 квартал'!F9+'2 квартал'!F9+'3 квартал'!F9+'4 квартал'!F9</f>
        <v>134139.453</v>
      </c>
    </row>
    <row r="10" spans="1:6" s="2" customFormat="1" ht="26.25" customHeight="1">
      <c r="A10" s="58" t="s">
        <v>36</v>
      </c>
      <c r="B10" s="5">
        <f t="shared" si="0"/>
        <v>70871.881</v>
      </c>
      <c r="C10" s="8">
        <f>'1 квартал'!C10+'2 квартал'!C10+'3 квартал'!C10+'4 квартал'!C10</f>
        <v>10606.23</v>
      </c>
      <c r="D10" s="8">
        <f>'1 квартал'!D10+'2 квартал'!D10+'3 квартал'!D10+'4 квартал'!D10</f>
        <v>0</v>
      </c>
      <c r="E10" s="8">
        <f>'1 квартал'!E10+'2 квартал'!E10+'3 квартал'!E10+'4 квартал'!E10</f>
        <v>25064.921000000002</v>
      </c>
      <c r="F10" s="9">
        <f>'1 квартал'!F10+'2 квартал'!F10+'3 квартал'!F10+'4 квартал'!F10</f>
        <v>35200.73</v>
      </c>
    </row>
    <row r="11" spans="1:6" s="2" customFormat="1" ht="21.75" customHeight="1">
      <c r="A11" s="15" t="s">
        <v>13</v>
      </c>
      <c r="B11" s="5">
        <f t="shared" si="0"/>
        <v>44266.37500000001</v>
      </c>
      <c r="C11" s="8">
        <f>'1 квартал'!C11+'2 квартал'!C11+'3 квартал'!C11+'4 квартал'!C11</f>
        <v>9431.595000000001</v>
      </c>
      <c r="D11" s="8">
        <f>'1 квартал'!D11+'2 квартал'!D11+'3 квартал'!D11+'4 квартал'!D11</f>
        <v>0</v>
      </c>
      <c r="E11" s="8">
        <f>'1 квартал'!E11+'2 квартал'!E11+'3 квартал'!E11+'4 квартал'!E11</f>
        <v>21019.571000000004</v>
      </c>
      <c r="F11" s="9">
        <f>'1 квартал'!F11+'2 квартал'!F11+'3 квартал'!F11+'4 квартал'!F11</f>
        <v>13815.209</v>
      </c>
    </row>
    <row r="12" spans="1:6" s="2" customFormat="1" ht="19.5" customHeight="1">
      <c r="A12" s="15" t="s">
        <v>10</v>
      </c>
      <c r="B12" s="5">
        <f t="shared" si="0"/>
        <v>26605.506</v>
      </c>
      <c r="C12" s="8">
        <f>'1 квартал'!C12+'2 квартал'!C12+'3 квартал'!C12+'4 квартал'!C12</f>
        <v>1174.6349999999998</v>
      </c>
      <c r="D12" s="8">
        <f>'1 квартал'!D12+'2 квартал'!D12+'3 квартал'!D12+'4 квартал'!D12</f>
        <v>0</v>
      </c>
      <c r="E12" s="8">
        <f>'1 квартал'!E12+'2 квартал'!E12+'3 квартал'!E12+'4 квартал'!E12</f>
        <v>4045.3500000000004</v>
      </c>
      <c r="F12" s="9">
        <f>'1 квартал'!F12+'2 квартал'!F12+'3 квартал'!F12+'4 квартал'!F12</f>
        <v>21385.521</v>
      </c>
    </row>
    <row r="13" spans="1:6" s="2" customFormat="1" ht="17.25" customHeight="1">
      <c r="A13" s="15" t="s">
        <v>11</v>
      </c>
      <c r="B13" s="5">
        <f t="shared" si="0"/>
        <v>15372.145</v>
      </c>
      <c r="C13" s="8">
        <f>'1 квартал'!C13+'2 квартал'!C13+'3 квартал'!C13+'4 квартал'!C13</f>
        <v>0</v>
      </c>
      <c r="D13" s="8">
        <f>'1 квартал'!D13+'2 квартал'!D13+'3 квартал'!D13+'4 квартал'!D13</f>
        <v>0</v>
      </c>
      <c r="E13" s="8">
        <f>'1 квартал'!E13+'2 квартал'!E13+'3 квартал'!E13+'4 квартал'!E13</f>
        <v>769.224</v>
      </c>
      <c r="F13" s="9">
        <f>'1 квартал'!F13+'2 квартал'!F13+'3 квартал'!F13+'4 квартал'!F13</f>
        <v>14602.921</v>
      </c>
    </row>
    <row r="14" spans="1:6" s="2" customFormat="1" ht="17.25" customHeight="1">
      <c r="A14" s="15" t="s">
        <v>12</v>
      </c>
      <c r="B14" s="5">
        <f t="shared" si="0"/>
        <v>11233.360999999999</v>
      </c>
      <c r="C14" s="8">
        <f>'1 квартал'!C14+'2 квартал'!C14+'3 квартал'!C14+'4 квартал'!C14</f>
        <v>1174.6349999999998</v>
      </c>
      <c r="D14" s="8">
        <f>'1 квартал'!D14+'2 квартал'!D14+'3 квартал'!D14+'4 квартал'!D14</f>
        <v>0</v>
      </c>
      <c r="E14" s="8">
        <f>'1 квартал'!E14+'2 квартал'!E14+'3 квартал'!E14+'4 квартал'!E14</f>
        <v>3276.1259999999997</v>
      </c>
      <c r="F14" s="9">
        <f>'1 квартал'!F14+'2 квартал'!F14+'3 квартал'!F14+'4 квартал'!F14</f>
        <v>6782.599999999999</v>
      </c>
    </row>
    <row r="15" spans="1:6" s="2" customFormat="1" ht="35.25" customHeight="1">
      <c r="A15" s="58" t="s">
        <v>6</v>
      </c>
      <c r="B15" s="5">
        <f t="shared" si="0"/>
        <v>14034.529</v>
      </c>
      <c r="C15" s="8">
        <f>'1 квартал'!C15+'2 квартал'!C15+'3 квартал'!C15+'4 квартал'!C15</f>
        <v>14034.529</v>
      </c>
      <c r="D15" s="8">
        <f>'1 квартал'!D15+'2 квартал'!D15+'3 квартал'!D15+'4 квартал'!D15</f>
        <v>0</v>
      </c>
      <c r="E15" s="8">
        <f>'1 квартал'!E15+'2 квартал'!E15+'3 квартал'!E15+'4 квартал'!E15</f>
        <v>0</v>
      </c>
      <c r="F15" s="9">
        <f>'1 квартал'!F15+'2 квартал'!F15+'3 квартал'!F15+'4 квартал'!F15</f>
        <v>0</v>
      </c>
    </row>
    <row r="16" spans="1:6" s="2" customFormat="1" ht="19.5" customHeight="1">
      <c r="A16" s="15" t="s">
        <v>13</v>
      </c>
      <c r="B16" s="5">
        <f t="shared" si="0"/>
        <v>14027.04</v>
      </c>
      <c r="C16" s="8">
        <f>'1 квартал'!C16+'2 квартал'!C16+'3 квартал'!C16+'4 квартал'!C16</f>
        <v>14027.04</v>
      </c>
      <c r="D16" s="8">
        <f>'1 квартал'!D16+'2 квартал'!D16+'3 квартал'!D16+'4 квартал'!D16</f>
        <v>0</v>
      </c>
      <c r="E16" s="8">
        <f>'1 квартал'!E16+'2 квартал'!E16+'3 квартал'!E16+'4 квартал'!E16</f>
        <v>0</v>
      </c>
      <c r="F16" s="9">
        <f>'1 квартал'!F16+'2 квартал'!F16+'3 квартал'!F16+'4 квартал'!F16</f>
        <v>0</v>
      </c>
    </row>
    <row r="17" spans="1:6" s="2" customFormat="1" ht="18" customHeight="1">
      <c r="A17" s="15" t="s">
        <v>10</v>
      </c>
      <c r="B17" s="5">
        <f t="shared" si="0"/>
        <v>7.489</v>
      </c>
      <c r="C17" s="8">
        <f>'1 квартал'!C17+'2 квартал'!C17+'3 квартал'!C17+'4 квартал'!C17</f>
        <v>7.489</v>
      </c>
      <c r="D17" s="8">
        <f>'1 квартал'!D17+'2 квартал'!D17+'3 квартал'!D17+'4 квартал'!D17</f>
        <v>0</v>
      </c>
      <c r="E17" s="8">
        <f>'1 квартал'!E17+'2 квартал'!E17+'3 квартал'!E17+'4 квартал'!E17</f>
        <v>0</v>
      </c>
      <c r="F17" s="9">
        <f>'1 квартал'!F17+'2 квартал'!F17+'3 квартал'!F17+'4 квартал'!F17</f>
        <v>0</v>
      </c>
    </row>
    <row r="18" spans="1:6" s="2" customFormat="1" ht="19.5" customHeight="1">
      <c r="A18" s="15" t="s">
        <v>11</v>
      </c>
      <c r="B18" s="5">
        <f t="shared" si="0"/>
        <v>7.489</v>
      </c>
      <c r="C18" s="8">
        <f>'1 квартал'!C18+'2 квартал'!C18+'3 квартал'!C18+'4 квартал'!C18</f>
        <v>7.489</v>
      </c>
      <c r="D18" s="8">
        <f>'1 квартал'!D18+'2 квартал'!D18+'3 квартал'!D18+'4 квартал'!D18</f>
        <v>0</v>
      </c>
      <c r="E18" s="8">
        <f>'1 квартал'!E18+'2 квартал'!E18+'3 квартал'!E18+'4 квартал'!E18</f>
        <v>0</v>
      </c>
      <c r="F18" s="9">
        <f>'1 квартал'!F18+'2 квартал'!F18+'3 квартал'!F18+'4 квартал'!F18</f>
        <v>0</v>
      </c>
    </row>
    <row r="19" spans="1:6" s="2" customFormat="1" ht="19.5" customHeight="1">
      <c r="A19" s="15" t="s">
        <v>12</v>
      </c>
      <c r="B19" s="5">
        <f t="shared" si="0"/>
        <v>0</v>
      </c>
      <c r="C19" s="8">
        <f>'1 квартал'!C19+'2 квартал'!C19+'3 квартал'!C19+'4 квартал'!C19</f>
        <v>0</v>
      </c>
      <c r="D19" s="8">
        <f>'1 квартал'!D19+'2 квартал'!D19+'3 квартал'!D19+'4 квартал'!D19</f>
        <v>0</v>
      </c>
      <c r="E19" s="8">
        <f>'1 квартал'!E19+'2 квартал'!E19+'3 квартал'!E19+'4 квартал'!E19</f>
        <v>0</v>
      </c>
      <c r="F19" s="9">
        <f>'1 квартал'!F19+'2 квартал'!F19+'3 квартал'!F19+'4 квартал'!F19</f>
        <v>0</v>
      </c>
    </row>
    <row r="20" spans="1:6" s="2" customFormat="1" ht="51" customHeight="1">
      <c r="A20" s="58" t="s">
        <v>37</v>
      </c>
      <c r="B20" s="5">
        <f t="shared" si="0"/>
        <v>25462.340000000004</v>
      </c>
      <c r="C20" s="8">
        <f>'1 квартал'!C20+'2 квартал'!C20+'3 квартал'!C20+'4 квартал'!C20</f>
        <v>18051.564000000002</v>
      </c>
      <c r="D20" s="8">
        <f>'1 квартал'!D20+'2 квартал'!D20+'3 квартал'!D20+'4 квартал'!D20</f>
        <v>5573.737999999999</v>
      </c>
      <c r="E20" s="8">
        <f>'1 квартал'!E20+'2 квартал'!E20+'3 квартал'!E20+'4 квартал'!E20</f>
        <v>938.5570000000001</v>
      </c>
      <c r="F20" s="9">
        <f>'1 квартал'!F20+'2 квартал'!F20+'3 квартал'!F20+'4 квартал'!F20</f>
        <v>898.481</v>
      </c>
    </row>
    <row r="21" spans="1:6" s="2" customFormat="1" ht="21.75" customHeight="1">
      <c r="A21" s="15" t="s">
        <v>13</v>
      </c>
      <c r="B21" s="5">
        <f t="shared" si="0"/>
        <v>25250.688000000006</v>
      </c>
      <c r="C21" s="8">
        <f>'1 квартал'!C21+'2 квартал'!C21+'3 квартал'!C21+'4 квартал'!C21</f>
        <v>18051.564000000002</v>
      </c>
      <c r="D21" s="8">
        <f>'1 квартал'!D21+'2 квартал'!D21+'3 квартал'!D21+'4 квартал'!D21</f>
        <v>5573.737999999999</v>
      </c>
      <c r="E21" s="8">
        <f>'1 квартал'!E21+'2 квартал'!E21+'3 квартал'!E21+'4 квартал'!E21</f>
        <v>938.5570000000001</v>
      </c>
      <c r="F21" s="9">
        <f>'1 квартал'!F21+'2 квартал'!F21+'3 квартал'!F21+'4 квартал'!F21</f>
        <v>686.829</v>
      </c>
    </row>
    <row r="22" spans="1:6" s="2" customFormat="1" ht="21" customHeight="1">
      <c r="A22" s="15" t="s">
        <v>10</v>
      </c>
      <c r="B22" s="5">
        <f t="shared" si="0"/>
        <v>211.652</v>
      </c>
      <c r="C22" s="8">
        <f>'1 квартал'!C22+'2 квартал'!C22+'3 квартал'!C22+'4 квартал'!C22</f>
        <v>0</v>
      </c>
      <c r="D22" s="8">
        <f>'1 квартал'!D22+'2 квартал'!D22+'3 квартал'!D22+'4 квартал'!D22</f>
        <v>0</v>
      </c>
      <c r="E22" s="8">
        <f>'1 квартал'!E22+'2 квартал'!E22+'3 квартал'!E22+'4 квартал'!E22</f>
        <v>0</v>
      </c>
      <c r="F22" s="9">
        <f>'1 квартал'!F22+'2 квартал'!F22+'3 квартал'!F22+'4 квартал'!F22</f>
        <v>211.652</v>
      </c>
    </row>
    <row r="23" spans="1:6" s="2" customFormat="1" ht="21.75" customHeight="1">
      <c r="A23" s="15" t="s">
        <v>11</v>
      </c>
      <c r="B23" s="5">
        <f t="shared" si="0"/>
        <v>211.652</v>
      </c>
      <c r="C23" s="8">
        <f>'1 квартал'!C23+'2 квартал'!C23+'3 квартал'!C23+'4 квартал'!C23</f>
        <v>0</v>
      </c>
      <c r="D23" s="8">
        <f>'1 квартал'!D23+'2 квартал'!D23+'3 квартал'!D23+'4 квартал'!D23</f>
        <v>0</v>
      </c>
      <c r="E23" s="8">
        <f>'1 квартал'!E23+'2 квартал'!E23+'3 квартал'!E23+'4 квартал'!E23</f>
        <v>0</v>
      </c>
      <c r="F23" s="9">
        <f>'1 квартал'!F23+'2 квартал'!F23+'3 квартал'!F23+'4 квартал'!F23</f>
        <v>211.652</v>
      </c>
    </row>
    <row r="24" spans="1:6" s="2" customFormat="1" ht="21" customHeight="1">
      <c r="A24" s="15" t="s">
        <v>12</v>
      </c>
      <c r="B24" s="5">
        <f t="shared" si="0"/>
        <v>0</v>
      </c>
      <c r="C24" s="8">
        <f>'1 квартал'!C24+'2 квартал'!C24+'3 квартал'!C24+'4 квартал'!C24</f>
        <v>0</v>
      </c>
      <c r="D24" s="8">
        <f>'1 квартал'!D24+'2 квартал'!D24+'3 квартал'!D24+'4 квартал'!D24</f>
        <v>0</v>
      </c>
      <c r="E24" s="8">
        <f>'1 квартал'!E24+'2 квартал'!E24+'3 квартал'!E24+'4 квартал'!E24</f>
        <v>0</v>
      </c>
      <c r="F24" s="9">
        <f>'1 квартал'!F24+'2 квартал'!F24+'3 квартал'!F24+'4 квартал'!F24</f>
        <v>0</v>
      </c>
    </row>
    <row r="25" spans="1:6" s="2" customFormat="1" ht="41.25" customHeight="1">
      <c r="A25" s="58" t="s">
        <v>7</v>
      </c>
      <c r="B25" s="5">
        <f t="shared" si="0"/>
        <v>148614.368</v>
      </c>
      <c r="C25" s="8">
        <f>'1 квартал'!C25+'2 квартал'!C25+'3 квартал'!C25+'4 квартал'!C25</f>
        <v>81262.648</v>
      </c>
      <c r="D25" s="8">
        <f>'1 квартал'!D25+'2 квартал'!D25+'3 квартал'!D25+'4 квартал'!D25</f>
        <v>0</v>
      </c>
      <c r="E25" s="8">
        <f>'1 квартал'!E25+'2 квартал'!E25+'3 квартал'!E25+'4 квартал'!E25</f>
        <v>23738.442</v>
      </c>
      <c r="F25" s="9">
        <f>'1 квартал'!F25+'2 квартал'!F25+'3 квартал'!F25+'4 квартал'!F25</f>
        <v>43613.278</v>
      </c>
    </row>
    <row r="26" spans="1:6" s="2" customFormat="1" ht="19.5" customHeight="1">
      <c r="A26" s="15" t="s">
        <v>13</v>
      </c>
      <c r="B26" s="5">
        <f t="shared" si="0"/>
        <v>118517.439</v>
      </c>
      <c r="C26" s="8">
        <f>'1 квартал'!C26+'2 квартал'!C26+'3 квартал'!C26+'4 квартал'!C26</f>
        <v>81262.648</v>
      </c>
      <c r="D26" s="8">
        <f>'1 квартал'!D26+'2 квартал'!D26+'3 квартал'!D26+'4 квартал'!D26</f>
        <v>0</v>
      </c>
      <c r="E26" s="8">
        <f>'1 квартал'!E26+'2 квартал'!E26+'3 квартал'!E26+'4 квартал'!E26</f>
        <v>22981.375000000004</v>
      </c>
      <c r="F26" s="9">
        <f>'1 квартал'!F26+'2 квартал'!F26+'3 квартал'!F26+'4 квартал'!F26</f>
        <v>14273.416000000001</v>
      </c>
    </row>
    <row r="27" spans="1:6" s="2" customFormat="1" ht="24.75" customHeight="1">
      <c r="A27" s="15" t="s">
        <v>10</v>
      </c>
      <c r="B27" s="5">
        <f t="shared" si="0"/>
        <v>30096.929</v>
      </c>
      <c r="C27" s="8">
        <f>'1 квартал'!C27+'2 квартал'!C27+'3 квартал'!C27+'4 квартал'!C27</f>
        <v>0</v>
      </c>
      <c r="D27" s="8">
        <f>'1 квартал'!D27+'2 квартал'!D27+'3 квартал'!D27+'4 квартал'!D27</f>
        <v>0</v>
      </c>
      <c r="E27" s="8">
        <f>'1 квартал'!E27+'2 квартал'!E27+'3 квартал'!E27+'4 квартал'!E27</f>
        <v>757.067</v>
      </c>
      <c r="F27" s="9">
        <f>'1 квартал'!F27+'2 квартал'!F27+'3 квартал'!F27+'4 квартал'!F27</f>
        <v>29339.862</v>
      </c>
    </row>
    <row r="28" spans="1:6" s="2" customFormat="1" ht="25.5" customHeight="1">
      <c r="A28" s="15" t="s">
        <v>11</v>
      </c>
      <c r="B28" s="5">
        <f t="shared" si="0"/>
        <v>29369.484</v>
      </c>
      <c r="C28" s="8">
        <f>'1 квартал'!C28+'2 квартал'!C28+'3 квартал'!C28+'4 квартал'!C28</f>
        <v>0</v>
      </c>
      <c r="D28" s="8">
        <f>'1 квартал'!D28+'2 квартал'!D28+'3 квартал'!D28+'4 квартал'!D28</f>
        <v>0</v>
      </c>
      <c r="E28" s="8">
        <f>'1 квартал'!E28+'2 квартал'!E28+'3 квартал'!E28+'4 квартал'!E28</f>
        <v>757.067</v>
      </c>
      <c r="F28" s="9">
        <f>'1 квартал'!F28+'2 квартал'!F28+'3 квартал'!F28+'4 квартал'!F28</f>
        <v>28612.417</v>
      </c>
    </row>
    <row r="29" spans="1:6" s="2" customFormat="1" ht="20.25" customHeight="1">
      <c r="A29" s="15" t="s">
        <v>12</v>
      </c>
      <c r="B29" s="5">
        <f t="shared" si="0"/>
        <v>696.866</v>
      </c>
      <c r="C29" s="8">
        <f>'1 квартал'!C29+'2 квартал'!C29+'3 квартал'!C29+'4 квартал'!C29</f>
        <v>0</v>
      </c>
      <c r="D29" s="8">
        <f>'1 квартал'!D29+'2 квартал'!D29+'3 квартал'!D29+'4 квартал'!D29</f>
        <v>0</v>
      </c>
      <c r="E29" s="8">
        <f>'1 квартал'!E29+'2 квартал'!E29+'3 квартал'!E29+'4 квартал'!E29</f>
        <v>0</v>
      </c>
      <c r="F29" s="9">
        <f>'1 квартал'!F29+'2 квартал'!F29+'3 квартал'!F29+'4 квартал'!F29</f>
        <v>696.866</v>
      </c>
    </row>
    <row r="30" spans="1:6" s="2" customFormat="1" ht="31.5" customHeight="1">
      <c r="A30" s="58" t="s">
        <v>38</v>
      </c>
      <c r="B30" s="5">
        <f t="shared" si="0"/>
        <v>1197.095</v>
      </c>
      <c r="C30" s="8">
        <f>'1 квартал'!C30+'2 квартал'!C30+'3 квартал'!C30+'4 квартал'!C30</f>
        <v>0</v>
      </c>
      <c r="D30" s="8">
        <f>'1 квартал'!D30+'2 квартал'!D30+'3 квартал'!D30+'4 квартал'!D30</f>
        <v>0</v>
      </c>
      <c r="E30" s="8">
        <f>'1 квартал'!E30+'2 квартал'!E30+'3 квартал'!E30+'4 квартал'!E30</f>
        <v>664.99</v>
      </c>
      <c r="F30" s="9">
        <f>'1 квартал'!F30+'2 квартал'!F30+'3 квартал'!F30+'4 квартал'!F30</f>
        <v>532.105</v>
      </c>
    </row>
    <row r="31" spans="1:6" s="2" customFormat="1" ht="22.5" customHeight="1">
      <c r="A31" s="15" t="s">
        <v>13</v>
      </c>
      <c r="B31" s="5">
        <f t="shared" si="0"/>
        <v>1046.585</v>
      </c>
      <c r="C31" s="8">
        <f>'1 квартал'!C31+'2 квартал'!C31+'3 квартал'!C31+'4 квартал'!C31</f>
        <v>0</v>
      </c>
      <c r="D31" s="8">
        <f>'1 квартал'!D31+'2 квартал'!D31+'3 квартал'!D31+'4 квартал'!D31</f>
        <v>0</v>
      </c>
      <c r="E31" s="8">
        <f>'1 квартал'!E31+'2 квартал'!E31+'3 квартал'!E31+'4 квартал'!E31</f>
        <v>750.36</v>
      </c>
      <c r="F31" s="9">
        <f>'1 квартал'!F31+'2 квартал'!F31+'3 квартал'!F31+'4 квартал'!F31</f>
        <v>296.225</v>
      </c>
    </row>
    <row r="32" spans="1:6" s="2" customFormat="1" ht="24.75" customHeight="1">
      <c r="A32" s="15" t="s">
        <v>10</v>
      </c>
      <c r="B32" s="5">
        <f t="shared" si="0"/>
        <v>365.344</v>
      </c>
      <c r="C32" s="8">
        <f>'1 квартал'!C32+'2 квартал'!C32+'3 квартал'!C32+'4 квартал'!C32</f>
        <v>0</v>
      </c>
      <c r="D32" s="8">
        <f>'1 квартал'!D32+'2 квартал'!D32+'3 квартал'!D32+'4 квартал'!D32</f>
        <v>0</v>
      </c>
      <c r="E32" s="8">
        <f>'1 квартал'!E32+'2 квартал'!E32+'3 квартал'!E32+'4 квартал'!E32</f>
        <v>85.37</v>
      </c>
      <c r="F32" s="9">
        <f>'1 квартал'!F32+'2 квартал'!F32+'3 квартал'!F32+'4 квартал'!F32</f>
        <v>279.974</v>
      </c>
    </row>
    <row r="33" spans="1:6" s="2" customFormat="1" ht="18" customHeight="1">
      <c r="A33" s="15" t="s">
        <v>11</v>
      </c>
      <c r="B33" s="5">
        <f t="shared" si="0"/>
        <v>231.77599999999998</v>
      </c>
      <c r="C33" s="8">
        <f>'1 квартал'!C33+'2 квартал'!C33+'3 квартал'!C33+'4 квартал'!C33</f>
        <v>0</v>
      </c>
      <c r="D33" s="8">
        <f>'1 квартал'!D33+'2 квартал'!D33+'3 квартал'!D33+'4 квартал'!D33</f>
        <v>0</v>
      </c>
      <c r="E33" s="8">
        <f>'1 квартал'!E33+'2 квартал'!E33+'3 квартал'!E33+'4 квартал'!E33</f>
        <v>0</v>
      </c>
      <c r="F33" s="9">
        <f>'1 квартал'!F33+'2 квартал'!F33+'3 квартал'!F33+'4 квартал'!F33</f>
        <v>231.77599999999998</v>
      </c>
    </row>
    <row r="34" spans="1:6" s="2" customFormat="1" ht="18" customHeight="1">
      <c r="A34" s="15" t="s">
        <v>12</v>
      </c>
      <c r="B34" s="5">
        <f t="shared" si="0"/>
        <v>77.78</v>
      </c>
      <c r="C34" s="8">
        <f>'1 квартал'!C34+'2 квартал'!C34+'3 квартал'!C34+'4 квартал'!C34</f>
        <v>0</v>
      </c>
      <c r="D34" s="8">
        <f>'1 квартал'!D34+'2 квартал'!D34+'3 квартал'!D34+'4 квартал'!D34</f>
        <v>0</v>
      </c>
      <c r="E34" s="8">
        <f>'1 квартал'!E34+'2 квартал'!E34+'3 квартал'!E34+'4 квартал'!E34</f>
        <v>0</v>
      </c>
      <c r="F34" s="9">
        <f>'1 квартал'!F34+'2 квартал'!F34+'3 квартал'!F34+'4 квартал'!F34</f>
        <v>77.78</v>
      </c>
    </row>
    <row r="35" spans="1:6" s="2" customFormat="1" ht="34.5" customHeight="1">
      <c r="A35" s="58" t="s">
        <v>39</v>
      </c>
      <c r="B35" s="5">
        <f t="shared" si="0"/>
        <v>1538.7099999999998</v>
      </c>
      <c r="C35" s="8">
        <f>'1 квартал'!C35+'2 квартал'!C35+'3 квартал'!C35+'4 квартал'!C35</f>
        <v>0</v>
      </c>
      <c r="D35" s="8">
        <f>'1 квартал'!D35+'2 квартал'!D35+'3 квартал'!D35+'4 квартал'!D35</f>
        <v>0</v>
      </c>
      <c r="E35" s="8">
        <f>'1 квартал'!E35+'2 квартал'!E35+'3 квартал'!E35+'4 квартал'!E35</f>
        <v>0</v>
      </c>
      <c r="F35" s="9">
        <f>'1 квартал'!F35+'2 квартал'!F35+'3 квартал'!F35+'4 квартал'!F35</f>
        <v>1538.7099999999998</v>
      </c>
    </row>
    <row r="36" spans="1:6" s="2" customFormat="1" ht="23.25" customHeight="1">
      <c r="A36" s="15" t="s">
        <v>13</v>
      </c>
      <c r="B36" s="5">
        <f t="shared" si="0"/>
        <v>1625.4270000000001</v>
      </c>
      <c r="C36" s="8">
        <f>'1 квартал'!C36+'2 квартал'!C36+'3 квартал'!C36+'4 квартал'!C36</f>
        <v>0</v>
      </c>
      <c r="D36" s="8">
        <f>'1 квартал'!D36+'2 квартал'!D36+'3 квартал'!D36+'4 квартал'!D36</f>
        <v>0</v>
      </c>
      <c r="E36" s="8">
        <f>'1 квартал'!E36+'2 квартал'!E36+'3 квартал'!E36+'4 квартал'!E36</f>
        <v>0</v>
      </c>
      <c r="F36" s="9">
        <f>'1 квартал'!F36+'2 квартал'!F36+'3 квартал'!F36+'4 квартал'!F36</f>
        <v>1625.4270000000001</v>
      </c>
    </row>
    <row r="37" spans="1:6" s="2" customFormat="1" ht="23.25" customHeight="1">
      <c r="A37" s="15" t="s">
        <v>10</v>
      </c>
      <c r="B37" s="5">
        <f t="shared" si="0"/>
        <v>362.04</v>
      </c>
      <c r="C37" s="8">
        <f>'1 квартал'!C37+'2 квартал'!C37+'3 квартал'!C37+'4 квартал'!C37</f>
        <v>0</v>
      </c>
      <c r="D37" s="8">
        <f>'1 квартал'!D37+'2 квартал'!D37+'3 квартал'!D37+'4 квартал'!D37</f>
        <v>0</v>
      </c>
      <c r="E37" s="8">
        <f>'1 квартал'!E37+'2 квартал'!E37+'3 квартал'!E37+'4 квартал'!E37</f>
        <v>0</v>
      </c>
      <c r="F37" s="9">
        <f>'1 квартал'!F37+'2 квартал'!F37+'3 квартал'!F37+'4 квартал'!F37</f>
        <v>362.04</v>
      </c>
    </row>
    <row r="38" spans="1:6" s="2" customFormat="1" ht="23.25" customHeight="1">
      <c r="A38" s="15" t="s">
        <v>11</v>
      </c>
      <c r="B38" s="5">
        <f t="shared" si="0"/>
        <v>13.487</v>
      </c>
      <c r="C38" s="8">
        <f>'1 квартал'!C38+'2 квартал'!C38+'3 квартал'!C38+'4 квартал'!C38</f>
        <v>0</v>
      </c>
      <c r="D38" s="8">
        <f>'1 квартал'!D38+'2 квартал'!D38+'3 квартал'!D38+'4 квартал'!D38</f>
        <v>0</v>
      </c>
      <c r="E38" s="8">
        <f>'1 квартал'!E38+'2 квартал'!E38+'3 квартал'!E38+'4 квартал'!E38</f>
        <v>0</v>
      </c>
      <c r="F38" s="9">
        <f>'1 квартал'!F38+'2 квартал'!F38+'3 квартал'!F38+'4 квартал'!F38</f>
        <v>13.487</v>
      </c>
    </row>
    <row r="39" spans="1:6" s="2" customFormat="1" ht="23.25" customHeight="1">
      <c r="A39" s="15" t="s">
        <v>12</v>
      </c>
      <c r="B39" s="5">
        <f t="shared" si="0"/>
        <v>141.823</v>
      </c>
      <c r="C39" s="8">
        <f>'1 квартал'!C39+'2 квартал'!C39+'3 квартал'!C39+'4 квартал'!C39</f>
        <v>0</v>
      </c>
      <c r="D39" s="8">
        <f>'1 квартал'!D39+'2 квартал'!D39+'3 квартал'!D39+'4 квартал'!D39</f>
        <v>0</v>
      </c>
      <c r="E39" s="8">
        <f>'1 квартал'!E39+'2 квартал'!E39+'3 квартал'!E39+'4 квартал'!E39</f>
        <v>0</v>
      </c>
      <c r="F39" s="9">
        <f>'1 квартал'!F39+'2 квартал'!F39+'3 квартал'!F39+'4 квартал'!F39</f>
        <v>141.823</v>
      </c>
    </row>
    <row r="40" spans="1:6" s="2" customFormat="1" ht="25.5" customHeight="1">
      <c r="A40" s="58" t="s">
        <v>24</v>
      </c>
      <c r="B40" s="5">
        <f t="shared" si="0"/>
        <v>547.8629999999999</v>
      </c>
      <c r="C40" s="8">
        <f>'1 квартал'!C40+'2 квартал'!C40+'3 квартал'!C40+'4 квартал'!C40</f>
        <v>66.34700000000001</v>
      </c>
      <c r="D40" s="8">
        <f>'1 квартал'!D40+'2 квартал'!D40+'3 квартал'!D40+'4 квартал'!D40</f>
        <v>0</v>
      </c>
      <c r="E40" s="8">
        <f>'1 квартал'!E40+'2 квартал'!E40+'3 квартал'!E40+'4 квартал'!E40</f>
        <v>468.029</v>
      </c>
      <c r="F40" s="9">
        <f>'1 квартал'!F40+'2 квартал'!F40+'3 квартал'!F40+'4 квартал'!F40</f>
        <v>13.487</v>
      </c>
    </row>
    <row r="41" spans="1:6" s="2" customFormat="1" ht="19.5" customHeight="1">
      <c r="A41" s="15" t="s">
        <v>13</v>
      </c>
      <c r="B41" s="5">
        <f t="shared" si="0"/>
        <v>682.2550000000001</v>
      </c>
      <c r="C41" s="8">
        <f>'1 квартал'!C41+'2 квартал'!C41+'3 квартал'!C41+'4 квартал'!C41</f>
        <v>115.92500000000001</v>
      </c>
      <c r="D41" s="8">
        <f>'1 квартал'!D41+'2 квартал'!D41+'3 квартал'!D41+'4 квартал'!D41</f>
        <v>0</v>
      </c>
      <c r="E41" s="8">
        <f>'1 квартал'!E41+'2 квартал'!E41+'3 квартал'!E41+'4 квартал'!E41</f>
        <v>566.33</v>
      </c>
      <c r="F41" s="9">
        <f>'1 квартал'!F41+'2 квартал'!F41+'3 квартал'!F41+'4 квартал'!F41</f>
        <v>0</v>
      </c>
    </row>
    <row r="42" spans="1:6" s="2" customFormat="1" ht="19.5" customHeight="1">
      <c r="A42" s="15" t="s">
        <v>10</v>
      </c>
      <c r="B42" s="5">
        <f t="shared" si="0"/>
        <v>147.87900000000002</v>
      </c>
      <c r="C42" s="8">
        <f>'1 квартал'!C42+'2 квартал'!C42+'3 квартал'!C42+'4 квартал'!C42</f>
        <v>49.578</v>
      </c>
      <c r="D42" s="8">
        <f>'1 квартал'!D42+'2 квартал'!D42+'3 квартал'!D42+'4 квартал'!D42</f>
        <v>0</v>
      </c>
      <c r="E42" s="8">
        <f>'1 квартал'!E42+'2 квартал'!E42+'3 квартал'!E42+'4 квартал'!E42</f>
        <v>98.301</v>
      </c>
      <c r="F42" s="9">
        <f>'1 квартал'!F42+'2 квартал'!F42+'3 квартал'!F42+'4 квартал'!F42</f>
        <v>0</v>
      </c>
    </row>
    <row r="43" spans="1:6" s="2" customFormat="1" ht="19.5" customHeight="1">
      <c r="A43" s="15" t="s">
        <v>11</v>
      </c>
      <c r="B43" s="5">
        <f t="shared" si="0"/>
        <v>0</v>
      </c>
      <c r="C43" s="8">
        <f>'1 квартал'!C43+'2 квартал'!C43+'3 квартал'!C43+'4 квартал'!C43</f>
        <v>0</v>
      </c>
      <c r="D43" s="8">
        <f>'1 квартал'!D43+'2 квартал'!D43+'3 квартал'!D43+'4 квартал'!D43</f>
        <v>0</v>
      </c>
      <c r="E43" s="8">
        <f>'1 квартал'!E43+'2 квартал'!E43+'3 квартал'!E43+'4 квартал'!E43</f>
        <v>0</v>
      </c>
      <c r="F43" s="9">
        <f>'1 квартал'!F43+'2 квартал'!F43+'3 квартал'!F43+'4 квартал'!F43</f>
        <v>0</v>
      </c>
    </row>
    <row r="44" spans="1:6" s="2" customFormat="1" ht="19.5" customHeight="1">
      <c r="A44" s="15" t="s">
        <v>12</v>
      </c>
      <c r="B44" s="5">
        <f t="shared" si="0"/>
        <v>0</v>
      </c>
      <c r="C44" s="8">
        <f>'1 квартал'!C44+'2 квартал'!C44+'3 квартал'!C44+'4 квартал'!C44</f>
        <v>0</v>
      </c>
      <c r="D44" s="8">
        <f>'1 квартал'!D44+'2 квартал'!D44+'3 квартал'!D44+'4 квартал'!D44</f>
        <v>0</v>
      </c>
      <c r="E44" s="8">
        <f>'1 квартал'!E44+'2 квартал'!E44+'3 квартал'!E44+'4 квартал'!E44</f>
        <v>0</v>
      </c>
      <c r="F44" s="9">
        <f>'1 квартал'!F44+'2 квартал'!F44+'3 квартал'!F44+'4 квартал'!F44</f>
        <v>0</v>
      </c>
    </row>
    <row r="45" spans="1:6" s="2" customFormat="1" ht="24.75" customHeight="1">
      <c r="A45" s="27" t="s">
        <v>26</v>
      </c>
      <c r="B45" s="5">
        <f t="shared" si="0"/>
        <v>5326.746999999999</v>
      </c>
      <c r="C45" s="8">
        <f>'1 квартал'!C45+'2 квартал'!C45+'3 квартал'!C45+'4 квартал'!C45</f>
        <v>0</v>
      </c>
      <c r="D45" s="8">
        <f>'1 квартал'!D45+'2 квартал'!D45+'3 квартал'!D45+'4 квартал'!D45</f>
        <v>0</v>
      </c>
      <c r="E45" s="8">
        <f>'1 квартал'!E45+'2 квартал'!E45+'3 квартал'!E45+'4 квартал'!E45</f>
        <v>3995.3869999999997</v>
      </c>
      <c r="F45" s="9">
        <f>'1 квартал'!F45+'2 квартал'!F45+'3 квартал'!F45+'4 квартал'!F45</f>
        <v>1331.36</v>
      </c>
    </row>
    <row r="46" spans="1:6" s="2" customFormat="1" ht="24.75" customHeight="1">
      <c r="A46" s="15" t="s">
        <v>13</v>
      </c>
      <c r="B46" s="5">
        <f t="shared" si="0"/>
        <v>5763.96</v>
      </c>
      <c r="C46" s="8">
        <f>'1 квартал'!C46+'2 квартал'!C46+'3 квартал'!C46+'4 квартал'!C46</f>
        <v>0</v>
      </c>
      <c r="D46" s="8">
        <f>'1 квартал'!D46+'2 квартал'!D46+'3 квартал'!D46+'4 квартал'!D46</f>
        <v>0</v>
      </c>
      <c r="E46" s="8">
        <f>'1 квартал'!E46+'2 квартал'!E46+'3 квартал'!E46+'4 квартал'!E46</f>
        <v>4358.446</v>
      </c>
      <c r="F46" s="9">
        <f>'1 квартал'!F46+'2 квартал'!F46+'3 квартал'!F46+'4 квартал'!F46</f>
        <v>1405.514</v>
      </c>
    </row>
    <row r="47" spans="1:6" s="2" customFormat="1" ht="24.75" customHeight="1">
      <c r="A47" s="15" t="s">
        <v>10</v>
      </c>
      <c r="B47" s="5">
        <f t="shared" si="0"/>
        <v>437.213</v>
      </c>
      <c r="C47" s="8">
        <f>'1 квартал'!C47+'2 квартал'!C47+'3 квартал'!C47+'4 квартал'!C47</f>
        <v>0</v>
      </c>
      <c r="D47" s="8">
        <f>'1 квартал'!D47+'2 квартал'!D47+'3 квартал'!D47+'4 квартал'!D47</f>
        <v>0</v>
      </c>
      <c r="E47" s="8">
        <f>'1 квартал'!E47+'2 квартал'!E47+'3 квартал'!E47+'4 квартал'!E47</f>
        <v>363.059</v>
      </c>
      <c r="F47" s="9">
        <f>'1 квартал'!F47+'2 квартал'!F47+'3 квартал'!F47+'4 квартал'!F47</f>
        <v>74.154</v>
      </c>
    </row>
    <row r="48" spans="1:6" s="2" customFormat="1" ht="24.75" customHeight="1">
      <c r="A48" s="15" t="s">
        <v>11</v>
      </c>
      <c r="B48" s="5">
        <f t="shared" si="0"/>
        <v>0</v>
      </c>
      <c r="C48" s="8">
        <f>'1 квартал'!C48+'2 квартал'!C48+'3 квартал'!C48+'4 квартал'!C48</f>
        <v>0</v>
      </c>
      <c r="D48" s="8">
        <f>'1 квартал'!D48+'2 квартал'!D48+'3 квартал'!D48+'4 квартал'!D48</f>
        <v>0</v>
      </c>
      <c r="E48" s="8">
        <f>'1 квартал'!E48+'2 квартал'!E48+'3 квартал'!E48+'4 квартал'!E48</f>
        <v>0</v>
      </c>
      <c r="F48" s="9">
        <f>'1 квартал'!F48+'2 квартал'!F48+'3 квартал'!F48+'4 квартал'!F48</f>
        <v>0</v>
      </c>
    </row>
    <row r="49" spans="1:6" s="2" customFormat="1" ht="24.75" customHeight="1">
      <c r="A49" s="15" t="s">
        <v>12</v>
      </c>
      <c r="B49" s="5">
        <f t="shared" si="0"/>
        <v>0</v>
      </c>
      <c r="C49" s="8">
        <f>'1 квартал'!C49+'2 квартал'!C49+'3 квартал'!C49+'4 квартал'!C49</f>
        <v>0</v>
      </c>
      <c r="D49" s="8">
        <f>'1 квартал'!D49+'2 квартал'!D49+'3 квартал'!D49+'4 квартал'!D49</f>
        <v>0</v>
      </c>
      <c r="E49" s="8">
        <f>'1 квартал'!E49+'2 квартал'!E49+'3 квартал'!E49+'4 квартал'!E49</f>
        <v>0</v>
      </c>
      <c r="F49" s="9">
        <f>'1 квартал'!F49+'2 квартал'!F49+'3 квартал'!F49+'4 квартал'!F49</f>
        <v>0</v>
      </c>
    </row>
    <row r="50" spans="1:6" s="2" customFormat="1" ht="24.75" customHeight="1">
      <c r="A50" s="27" t="s">
        <v>4</v>
      </c>
      <c r="B50" s="5">
        <f t="shared" si="0"/>
        <v>8372.685</v>
      </c>
      <c r="C50" s="8">
        <f>'1 квартал'!C50+'2 квартал'!C50+'3 квартал'!C50+'4 квартал'!C50</f>
        <v>8372.685</v>
      </c>
      <c r="D50" s="8">
        <f>'1 квартал'!D50+'2 квартал'!D50+'3 квартал'!D50+'4 квартал'!D50</f>
        <v>0</v>
      </c>
      <c r="E50" s="8">
        <f>'1 квартал'!E50+'2 квартал'!E50+'3 квартал'!E50+'4 квартал'!E50</f>
        <v>0</v>
      </c>
      <c r="F50" s="9">
        <f>'1 квартал'!F50+'2 квартал'!F50+'3 квартал'!F50+'4 квартал'!F50</f>
        <v>0</v>
      </c>
    </row>
    <row r="51" spans="1:6" s="2" customFormat="1" ht="24.75" customHeight="1">
      <c r="A51" s="15" t="s">
        <v>13</v>
      </c>
      <c r="B51" s="5">
        <f t="shared" si="0"/>
        <v>9378.742999999999</v>
      </c>
      <c r="C51" s="8">
        <f>'1 квартал'!C51+'2 квартал'!C51+'3 квартал'!C51+'4 квартал'!C51</f>
        <v>9378.742999999999</v>
      </c>
      <c r="D51" s="8">
        <f>'1 квартал'!D51+'2 квартал'!D51+'3 квартал'!D51+'4 квартал'!D51</f>
        <v>0</v>
      </c>
      <c r="E51" s="8">
        <f>'1 квартал'!E51+'2 квартал'!E51+'3 квартал'!E51+'4 квартал'!E51</f>
        <v>0</v>
      </c>
      <c r="F51" s="9">
        <f>'1 квартал'!F51+'2 квартал'!F51+'3 квартал'!F51+'4 квартал'!F51</f>
        <v>0</v>
      </c>
    </row>
    <row r="52" spans="1:6" s="2" customFormat="1" ht="24.75" customHeight="1">
      <c r="A52" s="15" t="s">
        <v>10</v>
      </c>
      <c r="B52" s="5">
        <f t="shared" si="0"/>
        <v>1006.058</v>
      </c>
      <c r="C52" s="8">
        <f>'1 квартал'!C52+'2 квартал'!C52+'3 квартал'!C52+'4 квартал'!C52</f>
        <v>1006.058</v>
      </c>
      <c r="D52" s="8">
        <f>'1 квартал'!D52+'2 квартал'!D52+'3 квартал'!D52+'4 квартал'!D52</f>
        <v>0</v>
      </c>
      <c r="E52" s="8">
        <f>'1 квартал'!E52+'2 квартал'!E52+'3 квартал'!E52+'4 квартал'!E52</f>
        <v>0</v>
      </c>
      <c r="F52" s="9">
        <f>'1 квартал'!F52+'2 квартал'!F52+'3 квартал'!F52+'4 квартал'!F52</f>
        <v>0</v>
      </c>
    </row>
    <row r="53" spans="1:6" s="2" customFormat="1" ht="24.75" customHeight="1">
      <c r="A53" s="15" t="s">
        <v>11</v>
      </c>
      <c r="B53" s="5">
        <f t="shared" si="0"/>
        <v>0</v>
      </c>
      <c r="C53" s="8">
        <f>'1 квартал'!C53+'2 квартал'!C53+'3 квартал'!C53+'4 квартал'!C53</f>
        <v>0</v>
      </c>
      <c r="D53" s="8">
        <f>'1 квартал'!D53+'2 квартал'!D53+'3 квартал'!D53+'4 квартал'!D53</f>
        <v>0</v>
      </c>
      <c r="E53" s="8">
        <f>'1 квартал'!E53+'2 квартал'!E53+'3 квартал'!E53+'4 квартал'!E53</f>
        <v>0</v>
      </c>
      <c r="F53" s="9">
        <f>'1 квартал'!F53+'2 квартал'!F53+'3 квартал'!F53+'4 квартал'!F53</f>
        <v>0</v>
      </c>
    </row>
    <row r="54" spans="1:6" s="2" customFormat="1" ht="24.75" customHeight="1">
      <c r="A54" s="15" t="s">
        <v>12</v>
      </c>
      <c r="B54" s="5">
        <f t="shared" si="0"/>
        <v>0</v>
      </c>
      <c r="C54" s="8">
        <f>'1 квартал'!C54+'2 квартал'!C54+'3 квартал'!C54+'4 квартал'!C54</f>
        <v>0</v>
      </c>
      <c r="D54" s="8">
        <f>'1 квартал'!D54+'2 квартал'!D54+'3 квартал'!D54+'4 квартал'!D54</f>
        <v>0</v>
      </c>
      <c r="E54" s="8">
        <f>'1 квартал'!E54+'2 квартал'!E54+'3 квартал'!E54+'4 квартал'!E54</f>
        <v>0</v>
      </c>
      <c r="F54" s="9">
        <f>'1 квартал'!F54+'2 квартал'!F54+'3 квартал'!F54+'4 квартал'!F54</f>
        <v>0</v>
      </c>
    </row>
    <row r="55" spans="1:6" s="2" customFormat="1" ht="50.25" customHeight="1">
      <c r="A55" s="58" t="s">
        <v>40</v>
      </c>
      <c r="B55" s="5">
        <f t="shared" si="0"/>
        <v>19318.501</v>
      </c>
      <c r="C55" s="8">
        <f>'1 квартал'!C55+'2 квартал'!C55+'3 квартал'!C55+'4 квартал'!C55</f>
        <v>10481.223</v>
      </c>
      <c r="D55" s="8">
        <f>'1 квартал'!D55+'2 квартал'!D55+'3 квартал'!D55+'4 квартал'!D55</f>
        <v>0</v>
      </c>
      <c r="E55" s="8">
        <f>'1 квартал'!E55+'2 квартал'!E55+'3 квартал'!E55+'4 квартал'!E55</f>
        <v>3938.2200000000003</v>
      </c>
      <c r="F55" s="9">
        <f>'1 квартал'!F55+'2 квартал'!F55+'3 квартал'!F55+'4 квартал'!F55</f>
        <v>4899.058</v>
      </c>
    </row>
    <row r="56" spans="1:6" s="2" customFormat="1" ht="26.25" customHeight="1">
      <c r="A56" s="15" t="s">
        <v>13</v>
      </c>
      <c r="B56" s="5">
        <f t="shared" si="0"/>
        <v>17660.041999999998</v>
      </c>
      <c r="C56" s="8">
        <f>'1 квартал'!C56+'2 квартал'!C56+'3 квартал'!C56+'4 квартал'!C56</f>
        <v>11336.222999999998</v>
      </c>
      <c r="D56" s="8">
        <f>'1 квартал'!D56+'2 квартал'!D56+'3 квартал'!D56+'4 квартал'!D56</f>
        <v>0</v>
      </c>
      <c r="E56" s="8">
        <f>'1 квартал'!E56+'2 квартал'!E56+'3 квартал'!E56+'4 квартал'!E56</f>
        <v>4370.194</v>
      </c>
      <c r="F56" s="9">
        <f>'1 квартал'!F56+'2 квартал'!F56+'3 квартал'!F56+'4 квартал'!F56</f>
        <v>1953.625</v>
      </c>
    </row>
    <row r="57" spans="1:6" s="2" customFormat="1" ht="26.25" customHeight="1">
      <c r="A57" s="15" t="s">
        <v>10</v>
      </c>
      <c r="B57" s="5">
        <f t="shared" si="0"/>
        <v>4890.949</v>
      </c>
      <c r="C57" s="8">
        <f>'1 квартал'!C57+'2 квартал'!C57+'3 квартал'!C57+'4 квартал'!C57</f>
        <v>855</v>
      </c>
      <c r="D57" s="8">
        <f>'1 квартал'!D57+'2 квартал'!D57+'3 квартал'!D57+'4 квартал'!D57</f>
        <v>0</v>
      </c>
      <c r="E57" s="8">
        <f>'1 квартал'!E57+'2 квартал'!E57+'3 квартал'!E57+'4 квартал'!E57</f>
        <v>431.974</v>
      </c>
      <c r="F57" s="9">
        <f>'1 квартал'!F57+'2 квартал'!F57+'3 квартал'!F57+'4 квартал'!F57</f>
        <v>3603.9749999999995</v>
      </c>
    </row>
    <row r="58" spans="1:6" s="2" customFormat="1" ht="26.25" customHeight="1">
      <c r="A58" s="15" t="s">
        <v>11</v>
      </c>
      <c r="B58" s="5">
        <f t="shared" si="0"/>
        <v>3489.419</v>
      </c>
      <c r="C58" s="8">
        <f>'1 квартал'!C58+'2 квартал'!C58+'3 квартал'!C58+'4 квартал'!C58</f>
        <v>0</v>
      </c>
      <c r="D58" s="8">
        <f>'1 квартал'!D58+'2 квартал'!D58+'3 квартал'!D58+'4 квартал'!D58</f>
        <v>0</v>
      </c>
      <c r="E58" s="8">
        <f>'1 квартал'!E58+'2 квартал'!E58+'3 квартал'!E58+'4 квартал'!E58</f>
        <v>0</v>
      </c>
      <c r="F58" s="9">
        <f>'1 квартал'!F58+'2 квартал'!F58+'3 квартал'!F58+'4 квартал'!F58</f>
        <v>3489.419</v>
      </c>
    </row>
    <row r="59" spans="1:6" s="2" customFormat="1" ht="26.25" customHeight="1">
      <c r="A59" s="15" t="s">
        <v>12</v>
      </c>
      <c r="B59" s="5">
        <f t="shared" si="0"/>
        <v>666.463</v>
      </c>
      <c r="C59" s="8">
        <f>'1 квартал'!C59+'2 квартал'!C59+'3 квартал'!C59+'4 квартал'!C59</f>
        <v>0</v>
      </c>
      <c r="D59" s="8">
        <f>'1 квартал'!D59+'2 квартал'!D59+'3 квартал'!D59+'4 квартал'!D59</f>
        <v>0</v>
      </c>
      <c r="E59" s="8">
        <f>'1 квартал'!E59+'2 квартал'!E59+'3 квартал'!E59+'4 квартал'!E59</f>
        <v>0</v>
      </c>
      <c r="F59" s="9">
        <f>'1 квартал'!F59+'2 квартал'!F59+'3 квартал'!F59+'4 квартал'!F59</f>
        <v>666.463</v>
      </c>
    </row>
    <row r="60" spans="1:6" s="2" customFormat="1" ht="24.75" customHeight="1">
      <c r="A60" s="58" t="s">
        <v>25</v>
      </c>
      <c r="B60" s="5">
        <f t="shared" si="0"/>
        <v>22536.238</v>
      </c>
      <c r="C60" s="8">
        <f>'1 квартал'!C60+'2 квартал'!C60+'3 квартал'!C60+'4 квартал'!C60</f>
        <v>22355.695</v>
      </c>
      <c r="D60" s="8">
        <f>'1 квартал'!D60+'2 квартал'!D60+'3 квартал'!D60+'4 квартал'!D60</f>
        <v>0</v>
      </c>
      <c r="E60" s="8">
        <f>'1 квартал'!E60+'2 квартал'!E60+'3 квартал'!E60+'4 квартал'!E60</f>
        <v>0</v>
      </c>
      <c r="F60" s="9">
        <f>'1 квартал'!F60+'2 квартал'!F60+'3 квартал'!F60+'4 квартал'!F60</f>
        <v>180.543</v>
      </c>
    </row>
    <row r="61" spans="1:6" s="2" customFormat="1" ht="21.75" customHeight="1">
      <c r="A61" s="15" t="s">
        <v>13</v>
      </c>
      <c r="B61" s="5">
        <f t="shared" si="0"/>
        <v>24785.571</v>
      </c>
      <c r="C61" s="8">
        <f>'1 квартал'!C61+'2 квартал'!C61+'3 квартал'!C61+'4 квартал'!C61</f>
        <v>24640.695</v>
      </c>
      <c r="D61" s="8">
        <f>'1 квартал'!D61+'2 квартал'!D61+'3 квартал'!D61+'4 квартал'!D61</f>
        <v>0</v>
      </c>
      <c r="E61" s="8">
        <f>'1 квартал'!E61+'2 квартал'!E61+'3 квартал'!E61+'4 квартал'!E61</f>
        <v>0</v>
      </c>
      <c r="F61" s="9">
        <f>'1 квартал'!F61+'2 квартал'!F61+'3 квартал'!F61+'4 квартал'!F61</f>
        <v>144.876</v>
      </c>
    </row>
    <row r="62" spans="1:6" s="2" customFormat="1" ht="16.5" customHeight="1">
      <c r="A62" s="15" t="s">
        <v>10</v>
      </c>
      <c r="B62" s="5">
        <f t="shared" si="0"/>
        <v>2295</v>
      </c>
      <c r="C62" s="8">
        <f>'1 квартал'!C62+'2 квартал'!C62+'3 квартал'!C62+'4 квартал'!C62</f>
        <v>2285</v>
      </c>
      <c r="D62" s="8">
        <f>'1 квартал'!D62+'2 квартал'!D62+'3 квартал'!D62+'4 квартал'!D62</f>
        <v>0</v>
      </c>
      <c r="E62" s="8">
        <f>'1 квартал'!E62+'2 квартал'!E62+'3 квартал'!E62+'4 квартал'!E62</f>
        <v>0</v>
      </c>
      <c r="F62" s="9">
        <f>'1 квартал'!F62+'2 квартал'!F62+'3 квартал'!F62+'4 квартал'!F62</f>
        <v>10</v>
      </c>
    </row>
    <row r="63" spans="1:6" s="2" customFormat="1" ht="18" customHeight="1">
      <c r="A63" s="15" t="s">
        <v>11</v>
      </c>
      <c r="B63" s="5">
        <f t="shared" si="0"/>
        <v>0</v>
      </c>
      <c r="C63" s="8">
        <f>'1 квартал'!C63+'2 квартал'!C63+'3 квартал'!C63+'4 квартал'!C63</f>
        <v>0</v>
      </c>
      <c r="D63" s="8">
        <f>'1 квартал'!D63+'2 квартал'!D63+'3 квартал'!D63+'4 квартал'!D63</f>
        <v>0</v>
      </c>
      <c r="E63" s="8">
        <f>'1 квартал'!E63+'2 квартал'!E63+'3 квартал'!E63+'4 квартал'!E63</f>
        <v>0</v>
      </c>
      <c r="F63" s="9">
        <f>'1 квартал'!F63+'2 квартал'!F63+'3 квартал'!F63+'4 квартал'!F63</f>
        <v>0</v>
      </c>
    </row>
    <row r="64" spans="1:6" s="2" customFormat="1" ht="18" customHeight="1">
      <c r="A64" s="15" t="s">
        <v>12</v>
      </c>
      <c r="B64" s="5">
        <f t="shared" si="0"/>
        <v>0</v>
      </c>
      <c r="C64" s="8">
        <f>'1 квартал'!C64+'2 квартал'!C64+'3 квартал'!C64+'4 квартал'!C64</f>
        <v>0</v>
      </c>
      <c r="D64" s="8">
        <f>'1 квартал'!D64+'2 квартал'!D64+'3 квартал'!D64+'4 квартал'!D64</f>
        <v>0</v>
      </c>
      <c r="E64" s="8">
        <f>'1 квартал'!E64+'2 квартал'!E64+'3 квартал'!E64+'4 квартал'!E64</f>
        <v>0</v>
      </c>
      <c r="F64" s="9">
        <f>'1 квартал'!F64+'2 квартал'!F64+'3 квартал'!F64+'4 квартал'!F64</f>
        <v>0</v>
      </c>
    </row>
    <row r="65" spans="1:6" s="2" customFormat="1" ht="24.75" customHeight="1">
      <c r="A65" s="58" t="s">
        <v>41</v>
      </c>
      <c r="B65" s="5">
        <f t="shared" si="0"/>
        <v>286.581</v>
      </c>
      <c r="C65" s="8">
        <f>'1 квартал'!C65+'2 квартал'!C65+'3 квартал'!C65+'4 квартал'!C65</f>
        <v>0</v>
      </c>
      <c r="D65" s="8">
        <f>'1 квартал'!D65+'2 квартал'!D65+'3 квартал'!D65+'4 квартал'!D65</f>
        <v>0</v>
      </c>
      <c r="E65" s="8">
        <f>'1 квартал'!E65+'2 квартал'!E65+'3 квартал'!E65+'4 квартал'!E65</f>
        <v>286.581</v>
      </c>
      <c r="F65" s="9">
        <f>'1 квартал'!F65+'2 квартал'!F65+'3 квартал'!F65+'4 квартал'!F65</f>
        <v>0</v>
      </c>
    </row>
    <row r="66" spans="1:6" s="2" customFormat="1" ht="21.75" customHeight="1">
      <c r="A66" s="15" t="s">
        <v>13</v>
      </c>
      <c r="B66" s="5">
        <f t="shared" si="0"/>
        <v>313.581</v>
      </c>
      <c r="C66" s="8">
        <f>'1 квартал'!C66+'2 квартал'!C66+'3 квартал'!C66+'4 квартал'!C66</f>
        <v>0</v>
      </c>
      <c r="D66" s="8">
        <f>'1 квартал'!D66+'2 квартал'!D66+'3 квартал'!D66+'4 квартал'!D66</f>
        <v>0</v>
      </c>
      <c r="E66" s="8">
        <f>'1 квартал'!E66+'2 квартал'!E66+'3 квартал'!E66+'4 квартал'!E66</f>
        <v>313.581</v>
      </c>
      <c r="F66" s="9">
        <f>'1 квартал'!F66+'2 квартал'!F66+'3 квартал'!F66+'4 квартал'!F66</f>
        <v>0</v>
      </c>
    </row>
    <row r="67" spans="1:6" s="2" customFormat="1" ht="18" customHeight="1">
      <c r="A67" s="15" t="s">
        <v>10</v>
      </c>
      <c r="B67" s="5">
        <f t="shared" si="0"/>
        <v>27</v>
      </c>
      <c r="C67" s="8">
        <f>'1 квартал'!C67+'2 квартал'!C67+'3 квартал'!C67+'4 квартал'!C67</f>
        <v>0</v>
      </c>
      <c r="D67" s="8">
        <f>'1 квартал'!D67+'2 квартал'!D67+'3 квартал'!D67+'4 квартал'!D67</f>
        <v>0</v>
      </c>
      <c r="E67" s="8">
        <f>'1 квартал'!E67+'2 квартал'!E67+'3 квартал'!E67+'4 квартал'!E67</f>
        <v>27</v>
      </c>
      <c r="F67" s="9">
        <f>'1 квартал'!F67+'2 квартал'!F67+'3 квартал'!F67+'4 квартал'!F67</f>
        <v>0</v>
      </c>
    </row>
    <row r="68" spans="1:6" s="2" customFormat="1" ht="19.5" customHeight="1">
      <c r="A68" s="15" t="s">
        <v>11</v>
      </c>
      <c r="B68" s="5">
        <f t="shared" si="0"/>
        <v>0</v>
      </c>
      <c r="C68" s="8">
        <f>'1 квартал'!C68+'2 квартал'!C68+'3 квартал'!C68+'4 квартал'!C68</f>
        <v>0</v>
      </c>
      <c r="D68" s="8">
        <f>'1 квартал'!D68+'2 квартал'!D68+'3 квартал'!D68+'4 квартал'!D68</f>
        <v>0</v>
      </c>
      <c r="E68" s="8">
        <f>'1 квартал'!E68+'2 квартал'!E68+'3 квартал'!E68+'4 квартал'!E68</f>
        <v>0</v>
      </c>
      <c r="F68" s="9">
        <f>'1 квартал'!F68+'2 квартал'!F68+'3 квартал'!F68+'4 квартал'!F68</f>
        <v>0</v>
      </c>
    </row>
    <row r="69" spans="1:6" s="2" customFormat="1" ht="19.5" customHeight="1">
      <c r="A69" s="15" t="s">
        <v>12</v>
      </c>
      <c r="B69" s="5">
        <f aca="true" t="shared" si="1" ref="B69:B114">C69+D69+E69+F69</f>
        <v>0</v>
      </c>
      <c r="C69" s="8">
        <f>'1 квартал'!C69+'2 квартал'!C69+'3 квартал'!C69+'4 квартал'!C69</f>
        <v>0</v>
      </c>
      <c r="D69" s="8">
        <f>'1 квартал'!D69+'2 квартал'!D69+'3 квартал'!D69+'4 квартал'!D69</f>
        <v>0</v>
      </c>
      <c r="E69" s="8">
        <f>'1 квартал'!E69+'2 квартал'!E69+'3 квартал'!E69+'4 квартал'!E69</f>
        <v>0</v>
      </c>
      <c r="F69" s="9">
        <f>'1 квартал'!F69+'2 квартал'!F69+'3 квартал'!F69+'4 квартал'!F69</f>
        <v>0</v>
      </c>
    </row>
    <row r="70" spans="1:6" s="6" customFormat="1" ht="25.5" customHeight="1">
      <c r="A70" s="58" t="s">
        <v>23</v>
      </c>
      <c r="B70" s="5">
        <f t="shared" si="1"/>
        <v>1000.2520000000002</v>
      </c>
      <c r="C70" s="8">
        <f>'1 квартал'!C70+'2 квартал'!C70+'3 квартал'!C70+'4 квартал'!C70</f>
        <v>0</v>
      </c>
      <c r="D70" s="8">
        <f>'1 квартал'!D70+'2 квартал'!D70+'3 квартал'!D70+'4 квартал'!D70</f>
        <v>0</v>
      </c>
      <c r="E70" s="8">
        <f>'1 квартал'!E70+'2 квартал'!E70+'3 квартал'!E70+'4 квартал'!E70</f>
        <v>0</v>
      </c>
      <c r="F70" s="9">
        <f>'1 квартал'!F70+'2 квартал'!F70+'3 квартал'!F70+'4 квартал'!F70</f>
        <v>1000.2520000000002</v>
      </c>
    </row>
    <row r="71" spans="1:6" s="3" customFormat="1" ht="18.75">
      <c r="A71" s="15" t="s">
        <v>13</v>
      </c>
      <c r="B71" s="5">
        <f t="shared" si="1"/>
        <v>214.085</v>
      </c>
      <c r="C71" s="8">
        <f>'1 квартал'!C71+'2 квартал'!C71+'3 квартал'!C71+'4 квартал'!C71</f>
        <v>0</v>
      </c>
      <c r="D71" s="8">
        <f>'1 квартал'!D71+'2 квартал'!D71+'3 квартал'!D71+'4 квартал'!D71</f>
        <v>0</v>
      </c>
      <c r="E71" s="8">
        <f>'1 квартал'!E71+'2 квартал'!E71+'3 квартал'!E71+'4 квартал'!E71</f>
        <v>0</v>
      </c>
      <c r="F71" s="9">
        <f>'1 квартал'!F71+'2 квартал'!F71+'3 квартал'!F71+'4 квартал'!F71</f>
        <v>214.085</v>
      </c>
    </row>
    <row r="72" spans="1:6" s="3" customFormat="1" ht="18.75">
      <c r="A72" s="15" t="s">
        <v>10</v>
      </c>
      <c r="B72" s="5">
        <f t="shared" si="1"/>
        <v>903.558</v>
      </c>
      <c r="C72" s="8">
        <f>'1 квартал'!C72+'2 квартал'!C72+'3 квартал'!C72+'4 квартал'!C72</f>
        <v>0</v>
      </c>
      <c r="D72" s="8">
        <f>'1 квартал'!D72+'2 квартал'!D72+'3 квартал'!D72+'4 квартал'!D72</f>
        <v>0</v>
      </c>
      <c r="E72" s="8">
        <f>'1 квартал'!E72+'2 квартал'!E72+'3 квартал'!E72+'4 квартал'!E72</f>
        <v>0</v>
      </c>
      <c r="F72" s="9">
        <f>'1 квартал'!F72+'2 квартал'!F72+'3 квартал'!F72+'4 квартал'!F72</f>
        <v>903.558</v>
      </c>
    </row>
    <row r="73" spans="1:6" s="33" customFormat="1" ht="23.25" customHeight="1">
      <c r="A73" s="15" t="s">
        <v>11</v>
      </c>
      <c r="B73" s="5">
        <f t="shared" si="1"/>
        <v>960.769</v>
      </c>
      <c r="C73" s="8">
        <f>'1 квартал'!C73+'2 квартал'!C73+'3 квартал'!C73+'4 квартал'!C73</f>
        <v>0</v>
      </c>
      <c r="D73" s="8">
        <f>'1 квартал'!D73+'2 квартал'!D73+'3 квартал'!D73+'4 квартал'!D73</f>
        <v>0</v>
      </c>
      <c r="E73" s="8">
        <f>'1 квартал'!E73+'2 квартал'!E73+'3 квартал'!E73+'4 квартал'!E73</f>
        <v>0</v>
      </c>
      <c r="F73" s="9">
        <f>'1 квартал'!F73+'2 квартал'!F73+'3 квартал'!F73+'4 квартал'!F73</f>
        <v>960.769</v>
      </c>
    </row>
    <row r="74" spans="1:6" s="33" customFormat="1" ht="23.25" customHeight="1">
      <c r="A74" s="15" t="s">
        <v>12</v>
      </c>
      <c r="B74" s="5">
        <f t="shared" si="1"/>
        <v>77.271</v>
      </c>
      <c r="C74" s="8">
        <f>'1 квартал'!C74+'2 квартал'!C74+'3 квартал'!C74+'4 квартал'!C74</f>
        <v>0</v>
      </c>
      <c r="D74" s="8">
        <f>'1 квартал'!D74+'2 квартал'!D74+'3 квартал'!D74+'4 квартал'!D74</f>
        <v>0</v>
      </c>
      <c r="E74" s="8">
        <f>'1 квартал'!E74+'2 квартал'!E74+'3 квартал'!E74+'4 квартал'!E74</f>
        <v>0</v>
      </c>
      <c r="F74" s="9">
        <f>'1 квартал'!F74+'2 квартал'!F74+'3 квартал'!F74+'4 квартал'!F74</f>
        <v>77.271</v>
      </c>
    </row>
    <row r="75" spans="1:6" s="33" customFormat="1" ht="23.25" customHeight="1">
      <c r="A75" s="58" t="s">
        <v>42</v>
      </c>
      <c r="B75" s="5">
        <f t="shared" si="1"/>
        <v>2709.4069999999997</v>
      </c>
      <c r="C75" s="8">
        <f>'1 квартал'!C75+'2 квартал'!C75+'3 квартал'!C75+'4 квартал'!C75</f>
        <v>0</v>
      </c>
      <c r="D75" s="8">
        <f>'1 квартал'!D75+'2 квартал'!D75+'3 квартал'!D75+'4 квартал'!D75</f>
        <v>0</v>
      </c>
      <c r="E75" s="8">
        <f>'1 квартал'!E75+'2 квартал'!E75+'3 квартал'!E75+'4 квартал'!E75</f>
        <v>187.734</v>
      </c>
      <c r="F75" s="9">
        <f>'1 квартал'!F75+'2 квартал'!F75+'3 квартал'!F75+'4 квартал'!F75</f>
        <v>2521.673</v>
      </c>
    </row>
    <row r="76" spans="1:6" s="33" customFormat="1" ht="23.25" customHeight="1">
      <c r="A76" s="15" t="s">
        <v>13</v>
      </c>
      <c r="B76" s="5">
        <f t="shared" si="1"/>
        <v>1066.315</v>
      </c>
      <c r="C76" s="8">
        <f>'1 квартал'!C76+'2 квартал'!C76+'3 квартал'!C76+'4 квартал'!C76</f>
        <v>0</v>
      </c>
      <c r="D76" s="8">
        <f>'1 квартал'!D76+'2 квартал'!D76+'3 квартал'!D76+'4 квартал'!D76</f>
        <v>0</v>
      </c>
      <c r="E76" s="8">
        <f>'1 квартал'!E76+'2 квартал'!E76+'3 квартал'!E76+'4 квартал'!E76</f>
        <v>209.168</v>
      </c>
      <c r="F76" s="9">
        <f>'1 квартал'!F76+'2 квартал'!F76+'3 квартал'!F76+'4 квартал'!F76</f>
        <v>857.1469999999999</v>
      </c>
    </row>
    <row r="77" spans="1:6" s="33" customFormat="1" ht="23.25" customHeight="1">
      <c r="A77" s="15" t="s">
        <v>10</v>
      </c>
      <c r="B77" s="5">
        <f t="shared" si="1"/>
        <v>1975.825</v>
      </c>
      <c r="C77" s="8">
        <f>'1 квартал'!C77+'2 квартал'!C77+'3 квартал'!C77+'4 квартал'!C77</f>
        <v>0</v>
      </c>
      <c r="D77" s="8">
        <f>'1 квартал'!D77+'2 квартал'!D77+'3 квартал'!D77+'4 квартал'!D77</f>
        <v>0</v>
      </c>
      <c r="E77" s="8">
        <f>'1 квартал'!E77+'2 квартал'!E77+'3 квартал'!E77+'4 квартал'!E77</f>
        <v>21.434</v>
      </c>
      <c r="F77" s="9">
        <f>'1 квартал'!F77+'2 квартал'!F77+'3 квартал'!F77+'4 квартал'!F77</f>
        <v>1954.391</v>
      </c>
    </row>
    <row r="78" spans="1:6" s="33" customFormat="1" ht="23.25" customHeight="1">
      <c r="A78" s="15" t="s">
        <v>11</v>
      </c>
      <c r="B78" s="5">
        <f t="shared" si="1"/>
        <v>183.615</v>
      </c>
      <c r="C78" s="8">
        <f>'1 квартал'!C78+'2 квартал'!C78+'3 квартал'!C78+'4 квартал'!C78</f>
        <v>0</v>
      </c>
      <c r="D78" s="8">
        <f>'1 квартал'!D78+'2 квартал'!D78+'3 квартал'!D78+'4 квартал'!D78</f>
        <v>0</v>
      </c>
      <c r="E78" s="8">
        <f>'1 квартал'!E78+'2 квартал'!E78+'3 квартал'!E78+'4 квартал'!E78</f>
        <v>0</v>
      </c>
      <c r="F78" s="9">
        <f>'1 квартал'!F78+'2 квартал'!F78+'3 квартал'!F78+'4 квартал'!F78</f>
        <v>183.615</v>
      </c>
    </row>
    <row r="79" spans="1:6" s="33" customFormat="1" ht="23.25" customHeight="1">
      <c r="A79" s="15" t="s">
        <v>12</v>
      </c>
      <c r="B79" s="5">
        <f t="shared" si="1"/>
        <v>1901.266</v>
      </c>
      <c r="C79" s="8">
        <f>'1 квартал'!C79+'2 квартал'!C79+'3 квартал'!C79+'4 квартал'!C79</f>
        <v>0</v>
      </c>
      <c r="D79" s="8">
        <f>'1 квартал'!D79+'2 квартал'!D79+'3 квартал'!D79+'4 квартал'!D79</f>
        <v>0</v>
      </c>
      <c r="E79" s="8">
        <f>'1 квартал'!E79+'2 квартал'!E79+'3 квартал'!E79+'4 квартал'!E79</f>
        <v>0</v>
      </c>
      <c r="F79" s="9">
        <f>'1 квартал'!F79+'2 квартал'!F79+'3 квартал'!F79+'4 квартал'!F79</f>
        <v>1901.266</v>
      </c>
    </row>
    <row r="80" spans="1:6" ht="18">
      <c r="A80" s="58" t="s">
        <v>21</v>
      </c>
      <c r="B80" s="5">
        <f t="shared" si="1"/>
        <v>4127.614</v>
      </c>
      <c r="C80" s="8">
        <f>'1 квартал'!C80+'2 квартал'!C80+'3 квартал'!C80+'4 квартал'!C80</f>
        <v>0</v>
      </c>
      <c r="D80" s="8">
        <f>'1 квартал'!D80+'2 квартал'!D80+'3 квартал'!D80+'4 квартал'!D80</f>
        <v>0</v>
      </c>
      <c r="E80" s="8">
        <f>'1 квартал'!E80+'2 квартал'!E80+'3 квартал'!E80+'4 квартал'!E80</f>
        <v>3943.999</v>
      </c>
      <c r="F80" s="9">
        <f>'1 квартал'!F80+'2 квартал'!F80+'3 квартал'!F80+'4 квартал'!F80</f>
        <v>183.615</v>
      </c>
    </row>
    <row r="81" spans="1:6" ht="18.75">
      <c r="A81" s="15" t="s">
        <v>13</v>
      </c>
      <c r="B81" s="5">
        <f t="shared" si="1"/>
        <v>4306.6669999999995</v>
      </c>
      <c r="C81" s="8">
        <f>'1 квартал'!C81+'2 квартал'!C81+'3 квартал'!C81+'4 квартал'!C81</f>
        <v>0</v>
      </c>
      <c r="D81" s="8">
        <f>'1 квартал'!D81+'2 квартал'!D81+'3 квартал'!D81+'4 квартал'!D81</f>
        <v>0</v>
      </c>
      <c r="E81" s="8">
        <f>'1 квартал'!E81+'2 квартал'!E81+'3 квартал'!E81+'4 квартал'!E81</f>
        <v>4306.6669999999995</v>
      </c>
      <c r="F81" s="9">
        <f>'1 квартал'!F81+'2 квартал'!F81+'3 квартал'!F81+'4 квартал'!F81</f>
        <v>0</v>
      </c>
    </row>
    <row r="82" spans="1:6" ht="18.75">
      <c r="A82" s="15" t="s">
        <v>10</v>
      </c>
      <c r="B82" s="5">
        <f t="shared" si="1"/>
        <v>362.668</v>
      </c>
      <c r="C82" s="8">
        <f>'1 квартал'!C82+'2 квартал'!C82+'3 квартал'!C82+'4 квартал'!C82</f>
        <v>0</v>
      </c>
      <c r="D82" s="8">
        <f>'1 квартал'!D82+'2 квартал'!D82+'3 квартал'!D82+'4 квартал'!D82</f>
        <v>0</v>
      </c>
      <c r="E82" s="8">
        <f>'1 квартал'!E82+'2 квартал'!E82+'3 квартал'!E82+'4 квартал'!E82</f>
        <v>362.668</v>
      </c>
      <c r="F82" s="9">
        <f>'1 квартал'!F82+'2 квартал'!F82+'3 квартал'!F82+'4 квартал'!F82</f>
        <v>0</v>
      </c>
    </row>
    <row r="83" spans="1:6" ht="18.75">
      <c r="A83" s="15" t="s">
        <v>11</v>
      </c>
      <c r="B83" s="5">
        <f t="shared" si="1"/>
        <v>0</v>
      </c>
      <c r="C83" s="8">
        <f>'1 квартал'!C83+'2 квартал'!C83+'3 квартал'!C83+'4 квартал'!C83</f>
        <v>0</v>
      </c>
      <c r="D83" s="8">
        <f>'1 квартал'!D83+'2 квартал'!D83+'3 квартал'!D83+'4 квартал'!D83</f>
        <v>0</v>
      </c>
      <c r="E83" s="8">
        <f>'1 квартал'!E83+'2 квартал'!E83+'3 квартал'!E83+'4 квартал'!E83</f>
        <v>0</v>
      </c>
      <c r="F83" s="9">
        <f>'1 квартал'!F83+'2 квартал'!F83+'3 квартал'!F83+'4 квартал'!F83</f>
        <v>0</v>
      </c>
    </row>
    <row r="84" spans="1:6" ht="18.75">
      <c r="A84" s="15" t="s">
        <v>12</v>
      </c>
      <c r="B84" s="5">
        <f t="shared" si="1"/>
        <v>0</v>
      </c>
      <c r="C84" s="8">
        <f>'1 квартал'!C84+'2 квартал'!C84+'3 квартал'!C84+'4 квартал'!C84</f>
        <v>0</v>
      </c>
      <c r="D84" s="8">
        <f>'1 квартал'!D84+'2 квартал'!D84+'3 квартал'!D84+'4 квартал'!D84</f>
        <v>0</v>
      </c>
      <c r="E84" s="8">
        <f>'1 квартал'!E84+'2 квартал'!E84+'3 квартал'!E84+'4 квартал'!E84</f>
        <v>0</v>
      </c>
      <c r="F84" s="9">
        <f>'1 квартал'!F84+'2 квартал'!F84+'3 квартал'!F84+'4 квартал'!F84</f>
        <v>0</v>
      </c>
    </row>
    <row r="85" spans="1:6" ht="36">
      <c r="A85" s="58" t="s">
        <v>22</v>
      </c>
      <c r="B85" s="5">
        <f t="shared" si="1"/>
        <v>5434.61</v>
      </c>
      <c r="C85" s="8">
        <f>'1 квартал'!C85+'2 квартал'!C85+'3 квартал'!C85+'4 квартал'!C85</f>
        <v>0</v>
      </c>
      <c r="D85" s="8">
        <f>'1 квартал'!D85+'2 квартал'!D85+'3 квартал'!D85+'4 квартал'!D85</f>
        <v>0</v>
      </c>
      <c r="E85" s="8">
        <f>'1 квартал'!E85+'2 квартал'!E85+'3 квартал'!E85+'4 квартал'!E85</f>
        <v>5434.61</v>
      </c>
      <c r="F85" s="9">
        <f>'1 квартал'!F85+'2 квартал'!F85+'3 квартал'!F85+'4 квартал'!F85</f>
        <v>0</v>
      </c>
    </row>
    <row r="86" spans="1:6" ht="18.75">
      <c r="A86" s="15" t="s">
        <v>13</v>
      </c>
      <c r="B86" s="5">
        <f t="shared" si="1"/>
        <v>6141.076</v>
      </c>
      <c r="C86" s="8">
        <f>'1 квартал'!C86+'2 квартал'!C86+'3 квартал'!C86+'4 квартал'!C86</f>
        <v>0</v>
      </c>
      <c r="D86" s="8">
        <f>'1 квартал'!D86+'2 квартал'!D86+'3 квартал'!D86+'4 квартал'!D86</f>
        <v>0</v>
      </c>
      <c r="E86" s="8">
        <f>'1 квартал'!E86+'2 квартал'!E86+'3 квартал'!E86+'4 квартал'!E86</f>
        <v>6141.076</v>
      </c>
      <c r="F86" s="9">
        <f>'1 квартал'!F86+'2 квартал'!F86+'3 квартал'!F86+'4 квартал'!F86</f>
        <v>0</v>
      </c>
    </row>
    <row r="87" spans="1:6" ht="18.75">
      <c r="A87" s="15" t="s">
        <v>10</v>
      </c>
      <c r="B87" s="5">
        <f t="shared" si="1"/>
        <v>706.466</v>
      </c>
      <c r="C87" s="8">
        <f>'1 квартал'!C87+'2 квартал'!C87+'3 квартал'!C87+'4 квартал'!C87</f>
        <v>0</v>
      </c>
      <c r="D87" s="8">
        <f>'1 квартал'!D87+'2 квартал'!D87+'3 квартал'!D87+'4 квартал'!D87</f>
        <v>0</v>
      </c>
      <c r="E87" s="8">
        <f>'1 квартал'!E87+'2 квартал'!E87+'3 квартал'!E87+'4 квартал'!E87</f>
        <v>706.466</v>
      </c>
      <c r="F87" s="9">
        <f>'1 квартал'!F87+'2 квартал'!F87+'3 квартал'!F87+'4 квартал'!F87</f>
        <v>0</v>
      </c>
    </row>
    <row r="88" spans="1:6" ht="18.75">
      <c r="A88" s="15" t="s">
        <v>11</v>
      </c>
      <c r="B88" s="5">
        <f t="shared" si="1"/>
        <v>0</v>
      </c>
      <c r="C88" s="8">
        <f>'1 квартал'!C88+'2 квартал'!C88+'3 квартал'!C88+'4 квартал'!C88</f>
        <v>0</v>
      </c>
      <c r="D88" s="8">
        <f>'1 квартал'!D88+'2 квартал'!D88+'3 квартал'!D88+'4 квартал'!D88</f>
        <v>0</v>
      </c>
      <c r="E88" s="8">
        <f>'1 квартал'!E88+'2 квартал'!E88+'3 квартал'!E88+'4 квартал'!E88</f>
        <v>0</v>
      </c>
      <c r="F88" s="9">
        <f>'1 квартал'!F88+'2 квартал'!F88+'3 квартал'!F88+'4 квартал'!F88</f>
        <v>0</v>
      </c>
    </row>
    <row r="89" spans="1:6" ht="18.75">
      <c r="A89" s="15" t="s">
        <v>12</v>
      </c>
      <c r="B89" s="5">
        <f t="shared" si="1"/>
        <v>0</v>
      </c>
      <c r="C89" s="8">
        <f>'1 квартал'!C89+'2 квартал'!C89+'3 квартал'!C89+'4 квартал'!C89</f>
        <v>0</v>
      </c>
      <c r="D89" s="8">
        <f>'1 квартал'!D89+'2 квартал'!D89+'3 квартал'!D89+'4 квартал'!D89</f>
        <v>0</v>
      </c>
      <c r="E89" s="8">
        <f>'1 квартал'!E89+'2 квартал'!E89+'3 квартал'!E89+'4 квартал'!E89</f>
        <v>0</v>
      </c>
      <c r="F89" s="9">
        <f>'1 квартал'!F89+'2 квартал'!F89+'3 квартал'!F89+'4 квартал'!F89</f>
        <v>0</v>
      </c>
    </row>
    <row r="90" spans="1:6" ht="18">
      <c r="A90" s="58" t="s">
        <v>49</v>
      </c>
      <c r="B90" s="5">
        <f t="shared" si="1"/>
        <v>0</v>
      </c>
      <c r="C90" s="8">
        <f>'1 квартал'!C90+'2 квартал'!C90+'3 квартал'!C90+'4 квартал'!C90</f>
        <v>0</v>
      </c>
      <c r="D90" s="8">
        <f>'1 квартал'!D90+'2 квартал'!D90+'3 квартал'!D90+'4 квартал'!D90</f>
        <v>0</v>
      </c>
      <c r="E90" s="8">
        <f>'1 квартал'!E90+'2 квартал'!E90+'3 квартал'!E90+'4 квартал'!E90</f>
        <v>0</v>
      </c>
      <c r="F90" s="9">
        <f>'1 квартал'!F90+'2 квартал'!F90+'3 квартал'!F90+'4 квартал'!F90</f>
        <v>0</v>
      </c>
    </row>
    <row r="91" spans="1:6" ht="18.75">
      <c r="A91" s="15" t="s">
        <v>13</v>
      </c>
      <c r="B91" s="5">
        <f t="shared" si="1"/>
        <v>0</v>
      </c>
      <c r="C91" s="8">
        <f>'1 квартал'!C91+'2 квартал'!C91+'3 квартал'!C91+'4 квартал'!C91</f>
        <v>0</v>
      </c>
      <c r="D91" s="8">
        <f>'1 квартал'!D91+'2 квартал'!D91+'3 квартал'!D91+'4 квартал'!D91</f>
        <v>0</v>
      </c>
      <c r="E91" s="8">
        <f>'1 квартал'!E91+'2 квартал'!E91+'3 квартал'!E91+'4 квартал'!E91</f>
        <v>0</v>
      </c>
      <c r="F91" s="9">
        <f>'1 квартал'!F91+'2 квартал'!F91+'3 квартал'!F91+'4 квартал'!F91</f>
        <v>0</v>
      </c>
    </row>
    <row r="92" spans="1:6" ht="18.75">
      <c r="A92" s="15" t="s">
        <v>10</v>
      </c>
      <c r="B92" s="5">
        <f t="shared" si="1"/>
        <v>0</v>
      </c>
      <c r="C92" s="8">
        <f>'1 квартал'!C92+'2 квартал'!C92+'3 квартал'!C92+'4 квартал'!C92</f>
        <v>0</v>
      </c>
      <c r="D92" s="8">
        <f>'1 квартал'!D92+'2 квартал'!D92+'3 квартал'!D92+'4 квартал'!D92</f>
        <v>0</v>
      </c>
      <c r="E92" s="8">
        <f>'1 квартал'!E92+'2 квартал'!E92+'3 квартал'!E92+'4 квартал'!E92</f>
        <v>0</v>
      </c>
      <c r="F92" s="9">
        <f>'1 квартал'!F92+'2 квартал'!F92+'3 квартал'!F92+'4 квартал'!F92</f>
        <v>0</v>
      </c>
    </row>
    <row r="93" spans="1:6" ht="18.75">
      <c r="A93" s="15" t="s">
        <v>11</v>
      </c>
      <c r="B93" s="5">
        <f t="shared" si="1"/>
        <v>0</v>
      </c>
      <c r="C93" s="8">
        <f>'1 квартал'!C93+'2 квартал'!C93+'3 квартал'!C93+'4 квартал'!C93</f>
        <v>0</v>
      </c>
      <c r="D93" s="8">
        <f>'1 квартал'!D93+'2 квартал'!D93+'3 квартал'!D93+'4 квартал'!D93</f>
        <v>0</v>
      </c>
      <c r="E93" s="8">
        <f>'1 квартал'!E93+'2 квартал'!E93+'3 квартал'!E93+'4 квартал'!E93</f>
        <v>0</v>
      </c>
      <c r="F93" s="9">
        <f>'1 квартал'!F93+'2 квартал'!F93+'3 квартал'!F93+'4 квартал'!F93</f>
        <v>0</v>
      </c>
    </row>
    <row r="94" spans="1:6" ht="18.75">
      <c r="A94" s="15" t="s">
        <v>12</v>
      </c>
      <c r="B94" s="5">
        <f t="shared" si="1"/>
        <v>0</v>
      </c>
      <c r="C94" s="8">
        <f>'1 квартал'!C94+'2 квартал'!C94+'3 квартал'!C94+'4 квартал'!C94</f>
        <v>0</v>
      </c>
      <c r="D94" s="8">
        <f>'1 квартал'!D94+'2 квартал'!D94+'3 квартал'!D94+'4 квартал'!D94</f>
        <v>0</v>
      </c>
      <c r="E94" s="8">
        <f>'1 квартал'!E94+'2 квартал'!E94+'3 квартал'!E94+'4 квартал'!E94</f>
        <v>0</v>
      </c>
      <c r="F94" s="9">
        <f>'1 квартал'!F94+'2 квартал'!F94+'3 квартал'!F94+'4 квартал'!F94</f>
        <v>0</v>
      </c>
    </row>
    <row r="95" spans="1:6" ht="18">
      <c r="A95" s="58" t="s">
        <v>70</v>
      </c>
      <c r="B95" s="5">
        <f t="shared" si="1"/>
        <v>659.681</v>
      </c>
      <c r="C95" s="8">
        <f>'2 квартал'!C95+'3 квартал'!C95+'4 квартал'!C95</f>
        <v>0</v>
      </c>
      <c r="D95" s="8">
        <f>'2 квартал'!D95+'3 квартал'!D95+'4 квартал'!D95</f>
        <v>0</v>
      </c>
      <c r="E95" s="8">
        <f>'2 квартал'!E95+'3 квартал'!E95+'4 квартал'!E95</f>
        <v>659.681</v>
      </c>
      <c r="F95" s="9">
        <f>'2 квартал'!F95+'3 квартал'!F95+'4 квартал'!F95</f>
        <v>0</v>
      </c>
    </row>
    <row r="96" spans="1:6" ht="18.75">
      <c r="A96" s="15" t="s">
        <v>13</v>
      </c>
      <c r="B96" s="5">
        <f t="shared" si="1"/>
        <v>544.085</v>
      </c>
      <c r="C96" s="8">
        <f>'2 квартал'!C96+'3 квартал'!C96+'4 квартал'!C96</f>
        <v>0</v>
      </c>
      <c r="D96" s="8">
        <f>'2 квартал'!D96+'3 квартал'!D96+'4 квартал'!D96</f>
        <v>0</v>
      </c>
      <c r="E96" s="8">
        <f>'2 квартал'!E96+'3 квартал'!E96+'4 квартал'!E96</f>
        <v>544.085</v>
      </c>
      <c r="F96" s="9">
        <f>'2 квартал'!F96+'3 квартал'!F96+'4 квартал'!F96</f>
        <v>0</v>
      </c>
    </row>
    <row r="97" spans="1:6" ht="18.75">
      <c r="A97" s="15" t="s">
        <v>10</v>
      </c>
      <c r="B97" s="5">
        <f t="shared" si="1"/>
        <v>245.596</v>
      </c>
      <c r="C97" s="8">
        <f>'2 квартал'!C97+'3 квартал'!C97+'4 квартал'!C97</f>
        <v>0</v>
      </c>
      <c r="D97" s="8">
        <f>'2 квартал'!D97+'3 квартал'!D97+'4 квартал'!D97</f>
        <v>0</v>
      </c>
      <c r="E97" s="8">
        <f>'2 квартал'!E97+'3 квартал'!E97+'4 квартал'!E97</f>
        <v>245.596</v>
      </c>
      <c r="F97" s="9">
        <f>'2 квартал'!F97+'3 квартал'!F97+'4 квартал'!F97</f>
        <v>0</v>
      </c>
    </row>
    <row r="98" spans="1:6" ht="18.75">
      <c r="A98" s="15" t="s">
        <v>11</v>
      </c>
      <c r="B98" s="5">
        <f t="shared" si="1"/>
        <v>180.596</v>
      </c>
      <c r="C98" s="8">
        <f>'2 квартал'!C98+'3 квартал'!C98+'4 квартал'!C98</f>
        <v>0</v>
      </c>
      <c r="D98" s="8">
        <f>'2 квартал'!D98+'3 квартал'!D98+'4 квартал'!D98</f>
        <v>0</v>
      </c>
      <c r="E98" s="8">
        <f>'2 квартал'!E98+'3 квартал'!E98+'4 квартал'!E98</f>
        <v>180.596</v>
      </c>
      <c r="F98" s="9">
        <f>'2 квартал'!F98+'3 квартал'!F98+'4 квартал'!F98</f>
        <v>0</v>
      </c>
    </row>
    <row r="99" spans="1:6" ht="18.75">
      <c r="A99" s="15" t="s">
        <v>12</v>
      </c>
      <c r="B99" s="5">
        <f t="shared" si="1"/>
        <v>0</v>
      </c>
      <c r="C99" s="8">
        <f>'2 квартал'!C99+'3 квартал'!C99+'4 квартал'!C99</f>
        <v>0</v>
      </c>
      <c r="D99" s="8">
        <f>'2 квартал'!D99+'3 квартал'!D99+'4 квартал'!D99</f>
        <v>0</v>
      </c>
      <c r="E99" s="8">
        <f>'2 квартал'!E99+'3 квартал'!E99+'4 квартал'!E99</f>
        <v>0</v>
      </c>
      <c r="F99" s="9">
        <f>'2 квартал'!F99+'3 квартал'!F99+'4 квартал'!F99</f>
        <v>0</v>
      </c>
    </row>
    <row r="100" spans="1:6" ht="18">
      <c r="A100" s="58" t="s">
        <v>8</v>
      </c>
      <c r="B100" s="5">
        <f t="shared" si="1"/>
        <v>17555.682</v>
      </c>
      <c r="C100" s="8">
        <f>'1 квартал'!C95+'2 квартал'!C100+'3 квартал'!C100+'4 квартал'!C100</f>
        <v>0</v>
      </c>
      <c r="D100" s="8">
        <f>'1 квартал'!D95+'2 квартал'!D100+'3 квартал'!D100+'4 квартал'!D100</f>
        <v>0</v>
      </c>
      <c r="E100" s="8">
        <f>'1 квартал'!E95+'2 квартал'!E100+'3 квартал'!E100+'4 квартал'!E100</f>
        <v>8823.312999999998</v>
      </c>
      <c r="F100" s="9">
        <f>'1 квартал'!F95+'2 квартал'!F100+'3 квартал'!F100+'4 квартал'!F100</f>
        <v>8732.369</v>
      </c>
    </row>
    <row r="101" spans="1:6" ht="18.75">
      <c r="A101" s="15" t="s">
        <v>13</v>
      </c>
      <c r="B101" s="5">
        <f t="shared" si="1"/>
        <v>11073.673</v>
      </c>
      <c r="C101" s="8">
        <f>'1 квартал'!C96+'2 квартал'!C101+'3 квартал'!C101+'4 квартал'!C101</f>
        <v>0</v>
      </c>
      <c r="D101" s="8">
        <f>'1 квартал'!D96+'2 квартал'!D101+'3 квартал'!D101+'4 квартал'!D101</f>
        <v>0</v>
      </c>
      <c r="E101" s="8">
        <f>'1 квартал'!E96+'2 квартал'!E101+'3 квартал'!E101+'4 квартал'!E101</f>
        <v>8221.29</v>
      </c>
      <c r="F101" s="9">
        <f>'1 квартал'!F96+'2 квартал'!F101+'3 квартал'!F101+'4 квартал'!F101</f>
        <v>2852.383</v>
      </c>
    </row>
    <row r="102" spans="1:6" ht="18.75">
      <c r="A102" s="15" t="s">
        <v>10</v>
      </c>
      <c r="B102" s="5">
        <f t="shared" si="1"/>
        <v>9539.831999999999</v>
      </c>
      <c r="C102" s="8">
        <f>'1 квартал'!C97+'2 квартал'!C102+'3 квартал'!C102+'4 квартал'!C102</f>
        <v>0</v>
      </c>
      <c r="D102" s="8">
        <f>'1 квартал'!D97+'2 квартал'!D102+'3 квартал'!D102+'4 квартал'!D102</f>
        <v>0</v>
      </c>
      <c r="E102" s="8">
        <f>'1 квартал'!E97+'2 квартал'!E102+'3 квартал'!E102+'4 квартал'!E102</f>
        <v>2628.7340000000004</v>
      </c>
      <c r="F102" s="9">
        <f>'1 квартал'!F97+'2 квартал'!F102+'3 квартал'!F102+'4 квартал'!F102</f>
        <v>6911.097999999999</v>
      </c>
    </row>
    <row r="103" spans="1:6" ht="18.75">
      <c r="A103" s="15" t="s">
        <v>11</v>
      </c>
      <c r="B103" s="5">
        <f t="shared" si="1"/>
        <v>7653.635</v>
      </c>
      <c r="C103" s="8">
        <f>'1 квартал'!C98+'2 квартал'!C103+'3 квартал'!C103+'4 квартал'!C103</f>
        <v>0</v>
      </c>
      <c r="D103" s="8">
        <f>'1 квартал'!D98+'2 квартал'!D103+'3 квартал'!D103+'4 квартал'!D103</f>
        <v>0</v>
      </c>
      <c r="E103" s="8">
        <f>'1 квартал'!E98+'2 квартал'!E103+'3 квартал'!E103+'4 квартал'!E103</f>
        <v>1831.518</v>
      </c>
      <c r="F103" s="9">
        <f>'1 квартал'!F98+'2 квартал'!F103+'3 квартал'!F103+'4 квартал'!F103</f>
        <v>5822.117</v>
      </c>
    </row>
    <row r="104" spans="1:6" ht="18.75">
      <c r="A104" s="15" t="s">
        <v>12</v>
      </c>
      <c r="B104" s="5">
        <f t="shared" si="1"/>
        <v>2085.753</v>
      </c>
      <c r="C104" s="8">
        <f>'1 квартал'!C99+'2 квартал'!C104+'3 квартал'!C104+'4 квартал'!C104</f>
        <v>0</v>
      </c>
      <c r="D104" s="8">
        <f>'1 квартал'!D99+'2 квартал'!D104+'3 квартал'!D104+'4 квартал'!D104</f>
        <v>0</v>
      </c>
      <c r="E104" s="8">
        <f>'1 квартал'!E99+'2 квартал'!E104+'3 квартал'!E104+'4 квартал'!E104</f>
        <v>235.42199999999997</v>
      </c>
      <c r="F104" s="9">
        <f>'1 квартал'!F99+'2 квартал'!F104+'3 квартал'!F104+'4 квартал'!F104</f>
        <v>1850.3310000000001</v>
      </c>
    </row>
    <row r="105" spans="1:6" ht="18">
      <c r="A105" s="58" t="s">
        <v>5</v>
      </c>
      <c r="B105" s="5" t="e">
        <f t="shared" si="1"/>
        <v>#REF!</v>
      </c>
      <c r="C105" s="8" t="e">
        <f>'1 квартал'!C100+'2 квартал'!C105+'3 квартал'!C105+'4 квартал'!C105</f>
        <v>#REF!</v>
      </c>
      <c r="D105" s="8" t="e">
        <f>'1 квартал'!D100+'2 квартал'!D105+'3 квартал'!D105+'4 квартал'!D105</f>
        <v>#REF!</v>
      </c>
      <c r="E105" s="8" t="e">
        <f>'1 квартал'!E100+'2 квартал'!E105+'3 квартал'!E105+'4 квартал'!E105</f>
        <v>#REF!</v>
      </c>
      <c r="F105" s="9" t="e">
        <f>'1 квартал'!F100+'2 квартал'!F105+'3 квартал'!F105+'4 квартал'!F105</f>
        <v>#REF!</v>
      </c>
    </row>
    <row r="106" spans="1:6" ht="18.75">
      <c r="A106" s="15" t="s">
        <v>13</v>
      </c>
      <c r="B106" s="5">
        <f t="shared" si="1"/>
        <v>28742.745</v>
      </c>
      <c r="C106" s="8">
        <f>'1 квартал'!C101+'2 квартал'!C106+'3 квартал'!C106+'4 квартал'!C106</f>
        <v>4151.355</v>
      </c>
      <c r="D106" s="8">
        <f>'1 квартал'!D101+'2 квартал'!D106+'3 квартал'!D106+'4 квартал'!D106</f>
        <v>0</v>
      </c>
      <c r="E106" s="8">
        <f>'1 квартал'!E101+'2 квартал'!E106+'3 квартал'!E106+'4 квартал'!E106</f>
        <v>19661.182</v>
      </c>
      <c r="F106" s="9">
        <f>'1 квартал'!F101+'2 квартал'!F106+'3 квартал'!F106+'4 квартал'!F106</f>
        <v>4930.208</v>
      </c>
    </row>
    <row r="107" spans="1:6" ht="18.75">
      <c r="A107" s="15" t="s">
        <v>10</v>
      </c>
      <c r="B107" s="5">
        <f t="shared" si="1"/>
        <v>15561.022</v>
      </c>
      <c r="C107" s="8">
        <f>'1 квартал'!C102+'2 квартал'!C107+'3 квартал'!C107+'4 квартал'!C107</f>
        <v>757.767</v>
      </c>
      <c r="D107" s="8">
        <f>'1 квартал'!D102+'2 квартал'!D107+'3 квартал'!D107+'4 квартал'!D107</f>
        <v>0</v>
      </c>
      <c r="E107" s="8">
        <f>'1 квартал'!E102+'2 квартал'!E107+'3 квартал'!E107+'4 квартал'!E107</f>
        <v>8377.611</v>
      </c>
      <c r="F107" s="9">
        <f>'1 квартал'!F102+'2 квартал'!F107+'3 квартал'!F107+'4 квартал'!F107</f>
        <v>6425.644</v>
      </c>
    </row>
    <row r="108" spans="1:6" ht="18.75">
      <c r="A108" s="15" t="s">
        <v>11</v>
      </c>
      <c r="B108" s="5">
        <f t="shared" si="1"/>
        <v>12679.127</v>
      </c>
      <c r="C108" s="8">
        <f>'1 квартал'!C103+'2 квартал'!C108+'3 квартал'!C108+'4 квартал'!C108</f>
        <v>0</v>
      </c>
      <c r="D108" s="8">
        <f>'1 квартал'!D103+'2 квартал'!D108+'3 квартал'!D108+'4 квартал'!D108</f>
        <v>0</v>
      </c>
      <c r="E108" s="8">
        <f>'1 квартал'!E103+'2 квартал'!E108+'3 квартал'!E108+'4 квартал'!E108</f>
        <v>5827.237999999999</v>
      </c>
      <c r="F108" s="9">
        <f>'1 квартал'!F103+'2 квартал'!F108+'3 квартал'!F108+'4 квартал'!F108</f>
        <v>6851.889</v>
      </c>
    </row>
    <row r="109" spans="1:6" ht="18.75">
      <c r="A109" s="15" t="s">
        <v>12</v>
      </c>
      <c r="B109" s="5">
        <f t="shared" si="1"/>
        <v>2615.464</v>
      </c>
      <c r="C109" s="8">
        <f>'1 квартал'!C104+'2 квартал'!C109+'3 квартал'!C109+'4 квартал'!C109</f>
        <v>0</v>
      </c>
      <c r="D109" s="8">
        <f>'1 квартал'!D104+'2 квартал'!D109+'3 квартал'!D109+'4 квартал'!D109</f>
        <v>0</v>
      </c>
      <c r="E109" s="8">
        <f>'1 квартал'!E104+'2 квартал'!E109+'3 квартал'!E109+'4 квартал'!E109</f>
        <v>1197.4699999999998</v>
      </c>
      <c r="F109" s="9">
        <f>'1 квартал'!F104+'2 квартал'!F109+'3 квартал'!F109+'4 квартал'!F109</f>
        <v>1417.9940000000001</v>
      </c>
    </row>
    <row r="110" spans="1:6" ht="36">
      <c r="A110" s="58" t="s">
        <v>43</v>
      </c>
      <c r="B110" s="5">
        <f t="shared" si="1"/>
        <v>58019.814</v>
      </c>
      <c r="C110" s="8">
        <f>'1 квартал'!C105+'2 квартал'!C110+'3 квартал'!C110+'4 квартал'!C110</f>
        <v>0</v>
      </c>
      <c r="D110" s="8">
        <f>'1 квартал'!D105+'2 квартал'!D110+'3 квартал'!D110+'4 квартал'!D110</f>
        <v>0</v>
      </c>
      <c r="E110" s="8">
        <f>'1 квартал'!E105+'2 квартал'!E110+'3 квартал'!E110+'4 квартал'!E110</f>
        <v>13070.606</v>
      </c>
      <c r="F110" s="9">
        <f>'1 квартал'!F105+'2 квартал'!F110+'3 квартал'!F110+'4 квартал'!F110</f>
        <v>44949.208</v>
      </c>
    </row>
    <row r="111" spans="1:6" ht="18.75">
      <c r="A111" s="15" t="s">
        <v>13</v>
      </c>
      <c r="B111" s="5" t="e">
        <f t="shared" si="1"/>
        <v>#REF!</v>
      </c>
      <c r="C111" s="8">
        <f>'1 квартал'!C106+'2 квартал'!C111+'3 квартал'!C111+'4 квартал'!C111</f>
        <v>0</v>
      </c>
      <c r="D111" s="8">
        <f>'1 квартал'!D106+'2 квартал'!D111+'3 квартал'!D111+'4 квартал'!D111</f>
        <v>0</v>
      </c>
      <c r="E111" s="8" t="e">
        <f>'1 квартал'!E106+'2 квартал'!E111+'3 квартал'!E111+'4 квартал'!E111</f>
        <v>#REF!</v>
      </c>
      <c r="F111" s="9" t="e">
        <f>'1 квартал'!F106+'2 квартал'!F111+'3 квартал'!F111+'4 квартал'!F111</f>
        <v>#REF!</v>
      </c>
    </row>
    <row r="112" spans="1:6" ht="18.75">
      <c r="A112" s="15" t="s">
        <v>10</v>
      </c>
      <c r="B112" s="5">
        <f t="shared" si="1"/>
        <v>43861.901</v>
      </c>
      <c r="C112" s="8">
        <f>'1 квартал'!C107+'2 квартал'!C112+'3 квартал'!C112+'4 квартал'!C112</f>
        <v>0</v>
      </c>
      <c r="D112" s="8">
        <f>'1 квартал'!D107+'2 квартал'!D112+'3 квартал'!D112+'4 квартал'!D112</f>
        <v>0</v>
      </c>
      <c r="E112" s="8">
        <f>'1 квартал'!E107+'2 квартал'!E112+'3 квартал'!E112+'4 квартал'!E112</f>
        <v>4794.182000000001</v>
      </c>
      <c r="F112" s="9">
        <f>'1 квартал'!F107+'2 квартал'!F112+'3 квартал'!F112+'4 квартал'!F112</f>
        <v>39067.719</v>
      </c>
    </row>
    <row r="113" spans="1:6" ht="18.75">
      <c r="A113" s="15" t="s">
        <v>11</v>
      </c>
      <c r="B113" s="5">
        <f t="shared" si="1"/>
        <v>12411.599999999999</v>
      </c>
      <c r="C113" s="8">
        <f>'1 квартал'!C108+'2 квартал'!C113+'3 квартал'!C113+'4 квартал'!C113</f>
        <v>0</v>
      </c>
      <c r="D113" s="8">
        <f>'1 квартал'!D108+'2 квартал'!D113+'3 квартал'!D113+'4 квартал'!D113</f>
        <v>0</v>
      </c>
      <c r="E113" s="8">
        <f>'1 квартал'!E108+'2 квартал'!E113+'3 квартал'!E113+'4 квартал'!E113</f>
        <v>2996.425</v>
      </c>
      <c r="F113" s="9">
        <f>'1 квартал'!F108+'2 квартал'!F113+'3 квартал'!F113+'4 квартал'!F113</f>
        <v>9415.175</v>
      </c>
    </row>
    <row r="114" spans="1:6" ht="19.5" thickBot="1">
      <c r="A114" s="16" t="s">
        <v>12</v>
      </c>
      <c r="B114" s="29">
        <f t="shared" si="1"/>
        <v>32206.379</v>
      </c>
      <c r="C114" s="19">
        <f>'1 квартал'!C109+'2 квартал'!C114+'3 квартал'!C114+'4 квартал'!C114</f>
        <v>0</v>
      </c>
      <c r="D114" s="19">
        <f>'1 квартал'!D109+'2 квартал'!D114+'3 квартал'!D114+'4 квартал'!D114</f>
        <v>0</v>
      </c>
      <c r="E114" s="19">
        <f>'1 квартал'!E109+'2 квартал'!E114+'3 квартал'!E114+'4 квартал'!E114</f>
        <v>351.822</v>
      </c>
      <c r="F114" s="184">
        <f>'1 квартал'!F109+'2 квартал'!F114+'3 квартал'!F114+'4 квартал'!F114</f>
        <v>31854.557</v>
      </c>
    </row>
    <row r="115" spans="1:6" ht="18.75" thickBot="1">
      <c r="A115" s="172"/>
      <c r="B115" s="20"/>
      <c r="C115" s="25"/>
      <c r="D115" s="25"/>
      <c r="E115" s="25"/>
      <c r="F115" s="25"/>
    </row>
    <row r="116" spans="1:6" ht="24" thickBot="1">
      <c r="A116" s="163" t="s">
        <v>72</v>
      </c>
      <c r="B116" s="113" t="e">
        <f>C116+D116+E116+F116</f>
        <v>#REF!</v>
      </c>
      <c r="C116" s="118" t="e">
        <f>C110+C105+C100+C95+C90+C85+C80+C75+C70+C65+C60+C55+C50+C45+C40+C35+C30+C25+C20+C15+C10+C5</f>
        <v>#REF!</v>
      </c>
      <c r="D116" s="118" t="e">
        <f>D110+D105+D100+D95+D90+D85+D80+D75+D70+D65+D60+D55+D50+D45+D40+D35+D30+D25+D20+D15+D10+D5</f>
        <v>#REF!</v>
      </c>
      <c r="E116" s="118" t="e">
        <f>E110+E105+E100+E95+E90+E85+E80+E75+E70+E65+E60+E55+E50+E45+E40+E35+E30+E25+E20+E15+E10+E5</f>
        <v>#REF!</v>
      </c>
      <c r="F116" s="118" t="e">
        <f>F110+F105+F100+F95+F90+F85+F80+F75+F70+F65+F60+F55+F50+F45+F40+F35+F30+F25+F20+F15+F10+F5</f>
        <v>#REF!</v>
      </c>
    </row>
    <row r="117" spans="1:6" ht="18">
      <c r="A117" s="176"/>
      <c r="B117" s="20"/>
      <c r="C117" s="25"/>
      <c r="D117" s="25"/>
      <c r="E117" s="25"/>
      <c r="F117" s="25"/>
    </row>
    <row r="118" spans="1:6" ht="18">
      <c r="A118" s="176"/>
      <c r="B118" s="20"/>
      <c r="C118" s="25"/>
      <c r="D118" s="25"/>
      <c r="E118" s="25"/>
      <c r="F118" s="25"/>
    </row>
  </sheetData>
  <sheetProtection/>
  <mergeCells count="2">
    <mergeCell ref="A1:F1"/>
    <mergeCell ref="A2:F2"/>
  </mergeCells>
  <printOptions horizontalCentered="1"/>
  <pageMargins left="0.043307086614173235" right="0.03937007874015748" top="0.3937007874015748" bottom="0.03937007874015748" header="0.5118110236220472" footer="0.5118110236220472"/>
  <pageSetup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zoomScale="60" zoomScaleNormal="60" zoomScalePageLayoutView="0" workbookViewId="0" topLeftCell="A1">
      <pane xSplit="1" ySplit="3" topLeftCell="B6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10" sqref="A110:F111"/>
    </sheetView>
  </sheetViews>
  <sheetFormatPr defaultColWidth="9.00390625" defaultRowHeight="12.75"/>
  <cols>
    <col min="1" max="1" width="68.25390625" style="3" customWidth="1"/>
    <col min="2" max="6" width="25.25390625" style="3" customWidth="1"/>
    <col min="7" max="7" width="22.75390625" style="3" customWidth="1"/>
  </cols>
  <sheetData>
    <row r="1" spans="1:6" s="36" customFormat="1" ht="47.25" customHeight="1">
      <c r="A1" s="185" t="s">
        <v>29</v>
      </c>
      <c r="B1" s="185"/>
      <c r="C1" s="185"/>
      <c r="D1" s="185"/>
      <c r="E1" s="185"/>
      <c r="F1" s="185"/>
    </row>
    <row r="2" spans="1:6" s="37" customFormat="1" ht="23.25">
      <c r="A2" s="186" t="s">
        <v>69</v>
      </c>
      <c r="B2" s="186"/>
      <c r="C2" s="186"/>
      <c r="D2" s="187"/>
      <c r="E2" s="187"/>
      <c r="F2" s="187"/>
    </row>
    <row r="3" ht="18.75" thickBot="1">
      <c r="F3" s="56" t="s">
        <v>28</v>
      </c>
    </row>
    <row r="4" spans="1:6" s="2" customFormat="1" ht="31.5" customHeight="1" thickBot="1">
      <c r="A4" s="38" t="s">
        <v>15</v>
      </c>
      <c r="B4" s="51"/>
      <c r="C4" s="42" t="s">
        <v>0</v>
      </c>
      <c r="D4" s="42" t="s">
        <v>1</v>
      </c>
      <c r="E4" s="42" t="s">
        <v>2</v>
      </c>
      <c r="F4" s="43" t="s">
        <v>3</v>
      </c>
    </row>
    <row r="5" spans="1:6" s="2" customFormat="1" ht="36.75" customHeight="1">
      <c r="A5" s="103" t="s">
        <v>35</v>
      </c>
      <c r="B5" s="28">
        <f>C5+D5+E5+F5</f>
        <v>87254.802</v>
      </c>
      <c r="C5" s="74">
        <f>C6+C7</f>
        <v>35198.287</v>
      </c>
      <c r="D5" s="74">
        <f>D6+D7</f>
        <v>1398.552</v>
      </c>
      <c r="E5" s="74">
        <f>E6+E7</f>
        <v>22787.212</v>
      </c>
      <c r="F5" s="75">
        <f>F6+F7</f>
        <v>27870.751</v>
      </c>
    </row>
    <row r="6" spans="1:6" s="2" customFormat="1" ht="19.5" customHeight="1">
      <c r="A6" s="101" t="s">
        <v>13</v>
      </c>
      <c r="B6" s="8">
        <f aca="true" t="shared" si="0" ref="B6:B54">C6+D6+E6+F6</f>
        <v>70128.292</v>
      </c>
      <c r="C6" s="8">
        <f>35198.287-C7</f>
        <v>35147.494999999995</v>
      </c>
      <c r="D6" s="8">
        <f>1398.552-D7</f>
        <v>1397.042</v>
      </c>
      <c r="E6" s="8">
        <f>22787.212-E7</f>
        <v>21770.459</v>
      </c>
      <c r="F6" s="9">
        <f>27870.751-F7</f>
        <v>11813.295999999998</v>
      </c>
    </row>
    <row r="7" spans="1:6" s="2" customFormat="1" ht="35.25" customHeight="1">
      <c r="A7" s="101" t="s">
        <v>10</v>
      </c>
      <c r="B7" s="8">
        <f t="shared" si="0"/>
        <v>17126.510000000002</v>
      </c>
      <c r="C7" s="8">
        <f>C8+C9</f>
        <v>50.792</v>
      </c>
      <c r="D7" s="17">
        <f>D8+D9</f>
        <v>1.51</v>
      </c>
      <c r="E7" s="17">
        <f>E8+E9</f>
        <v>1016.7529999999999</v>
      </c>
      <c r="F7" s="18">
        <f>F8+F9</f>
        <v>16057.455000000002</v>
      </c>
    </row>
    <row r="8" spans="1:6" s="2" customFormat="1" ht="19.5" customHeight="1">
      <c r="A8" s="101" t="s">
        <v>11</v>
      </c>
      <c r="B8" s="8">
        <f t="shared" si="0"/>
        <v>4995.974</v>
      </c>
      <c r="C8" s="70">
        <f>19.162+9.358</f>
        <v>28.52</v>
      </c>
      <c r="D8" s="70"/>
      <c r="E8" s="70">
        <v>225.761</v>
      </c>
      <c r="F8" s="71">
        <v>4741.693</v>
      </c>
    </row>
    <row r="9" spans="1:6" s="2" customFormat="1" ht="18" customHeight="1">
      <c r="A9" s="101" t="s">
        <v>12</v>
      </c>
      <c r="B9" s="8">
        <f t="shared" si="0"/>
        <v>12130.536</v>
      </c>
      <c r="C9" s="70">
        <v>22.272</v>
      </c>
      <c r="D9" s="70">
        <v>1.51</v>
      </c>
      <c r="E9" s="70">
        <v>790.992</v>
      </c>
      <c r="F9" s="71">
        <v>11315.762</v>
      </c>
    </row>
    <row r="10" spans="1:6" s="2" customFormat="1" ht="19.5" customHeight="1">
      <c r="A10" s="104" t="s">
        <v>36</v>
      </c>
      <c r="B10" s="8">
        <f>C10+D10+E10+F10</f>
        <v>6479.362</v>
      </c>
      <c r="C10" s="17">
        <f>C11+C12</f>
        <v>1055.55</v>
      </c>
      <c r="D10" s="17"/>
      <c r="E10" s="17">
        <f>E11+E12</f>
        <v>2261.879</v>
      </c>
      <c r="F10" s="18">
        <f>F11+F12</f>
        <v>3161.933</v>
      </c>
    </row>
    <row r="11" spans="1:6" s="2" customFormat="1" ht="19.5" customHeight="1">
      <c r="A11" s="101" t="s">
        <v>13</v>
      </c>
      <c r="B11" s="8">
        <f t="shared" si="0"/>
        <v>4137.705</v>
      </c>
      <c r="C11" s="8">
        <v>932.03</v>
      </c>
      <c r="D11" s="8"/>
      <c r="E11" s="8">
        <v>1914.381</v>
      </c>
      <c r="F11" s="9">
        <v>1291.294</v>
      </c>
    </row>
    <row r="12" spans="1:6" s="2" customFormat="1" ht="21.75" customHeight="1">
      <c r="A12" s="101" t="s">
        <v>10</v>
      </c>
      <c r="B12" s="8">
        <f t="shared" si="0"/>
        <v>2341.657</v>
      </c>
      <c r="C12" s="17">
        <f>C13+C14</f>
        <v>123.52</v>
      </c>
      <c r="D12" s="8"/>
      <c r="E12" s="17">
        <f>E13+E14</f>
        <v>347.498</v>
      </c>
      <c r="F12" s="18">
        <f>F13+F14</f>
        <v>1870.6390000000001</v>
      </c>
    </row>
    <row r="13" spans="1:6" s="2" customFormat="1" ht="21.75" customHeight="1">
      <c r="A13" s="101" t="s">
        <v>11</v>
      </c>
      <c r="B13" s="8">
        <f t="shared" si="0"/>
        <v>1353.382</v>
      </c>
      <c r="C13" s="70"/>
      <c r="D13" s="70"/>
      <c r="E13" s="70">
        <v>65.342</v>
      </c>
      <c r="F13" s="71">
        <v>1288.04</v>
      </c>
    </row>
    <row r="14" spans="1:6" s="2" customFormat="1" ht="21.75" customHeight="1">
      <c r="A14" s="101" t="s">
        <v>12</v>
      </c>
      <c r="B14" s="8">
        <f t="shared" si="0"/>
        <v>988.2750000000001</v>
      </c>
      <c r="C14" s="70">
        <v>123.52</v>
      </c>
      <c r="D14" s="70"/>
      <c r="E14" s="70">
        <v>282.156</v>
      </c>
      <c r="F14" s="71">
        <v>582.599</v>
      </c>
    </row>
    <row r="15" spans="1:6" s="2" customFormat="1" ht="21.75" customHeight="1">
      <c r="A15" s="104" t="s">
        <v>6</v>
      </c>
      <c r="B15" s="8">
        <f t="shared" si="0"/>
        <v>1354.278</v>
      </c>
      <c r="C15" s="17">
        <f>C16+C17</f>
        <v>1354.278</v>
      </c>
      <c r="D15" s="8"/>
      <c r="E15" s="8"/>
      <c r="F15" s="9"/>
    </row>
    <row r="16" spans="1:6" s="2" customFormat="1" ht="21.75" customHeight="1">
      <c r="A16" s="101" t="s">
        <v>13</v>
      </c>
      <c r="B16" s="8">
        <f t="shared" si="0"/>
        <v>1353.865</v>
      </c>
      <c r="C16" s="8">
        <v>1353.865</v>
      </c>
      <c r="D16" s="8"/>
      <c r="E16" s="17"/>
      <c r="F16" s="18"/>
    </row>
    <row r="17" spans="1:6" s="2" customFormat="1" ht="21.75" customHeight="1">
      <c r="A17" s="101" t="s">
        <v>10</v>
      </c>
      <c r="B17" s="8">
        <f t="shared" si="0"/>
        <v>0.413</v>
      </c>
      <c r="C17" s="17">
        <f>C18+C19</f>
        <v>0.413</v>
      </c>
      <c r="D17" s="8"/>
      <c r="E17" s="17"/>
      <c r="F17" s="18"/>
    </row>
    <row r="18" spans="1:6" s="2" customFormat="1" ht="19.5" customHeight="1">
      <c r="A18" s="101" t="s">
        <v>11</v>
      </c>
      <c r="B18" s="8">
        <f t="shared" si="0"/>
        <v>0.413</v>
      </c>
      <c r="C18" s="70">
        <v>0.413</v>
      </c>
      <c r="D18" s="70"/>
      <c r="E18" s="70"/>
      <c r="F18" s="71"/>
    </row>
    <row r="19" spans="1:6" s="2" customFormat="1" ht="20.25" customHeight="1">
      <c r="A19" s="101" t="s">
        <v>12</v>
      </c>
      <c r="B19" s="8">
        <f t="shared" si="0"/>
        <v>0</v>
      </c>
      <c r="C19" s="70"/>
      <c r="D19" s="70"/>
      <c r="E19" s="70"/>
      <c r="F19" s="71"/>
    </row>
    <row r="20" spans="1:6" s="2" customFormat="1" ht="35.25" customHeight="1">
      <c r="A20" s="104" t="s">
        <v>37</v>
      </c>
      <c r="B20" s="8">
        <f t="shared" si="0"/>
        <v>923.016</v>
      </c>
      <c r="C20" s="17">
        <f>C21+C22</f>
        <v>9.096</v>
      </c>
      <c r="D20" s="17">
        <f>D21+D22</f>
        <v>815.451</v>
      </c>
      <c r="E20" s="17">
        <f>E21+E22</f>
        <v>24.43</v>
      </c>
      <c r="F20" s="18">
        <f>F21+F22</f>
        <v>74.039</v>
      </c>
    </row>
    <row r="21" spans="1:6" s="2" customFormat="1" ht="20.25" customHeight="1">
      <c r="A21" s="101" t="s">
        <v>13</v>
      </c>
      <c r="B21" s="8">
        <f t="shared" si="0"/>
        <v>905.256</v>
      </c>
      <c r="C21" s="8">
        <v>9.096</v>
      </c>
      <c r="D21" s="8">
        <v>815.451</v>
      </c>
      <c r="E21" s="8">
        <v>24.43</v>
      </c>
      <c r="F21" s="9">
        <v>56.279</v>
      </c>
    </row>
    <row r="22" spans="1:6" s="2" customFormat="1" ht="39" customHeight="1">
      <c r="A22" s="101" t="s">
        <v>10</v>
      </c>
      <c r="B22" s="8">
        <f t="shared" si="0"/>
        <v>17.76</v>
      </c>
      <c r="C22" s="8"/>
      <c r="D22" s="8"/>
      <c r="E22" s="17">
        <f>E23+E24</f>
        <v>0</v>
      </c>
      <c r="F22" s="18">
        <f>F23+F24</f>
        <v>17.76</v>
      </c>
    </row>
    <row r="23" spans="1:6" s="2" customFormat="1" ht="22.5" customHeight="1">
      <c r="A23" s="101" t="s">
        <v>11</v>
      </c>
      <c r="B23" s="8">
        <f t="shared" si="0"/>
        <v>17.76</v>
      </c>
      <c r="C23" s="70"/>
      <c r="D23" s="70"/>
      <c r="E23" s="70"/>
      <c r="F23" s="71">
        <v>17.76</v>
      </c>
    </row>
    <row r="24" spans="1:6" s="2" customFormat="1" ht="24.75" customHeight="1">
      <c r="A24" s="101" t="s">
        <v>12</v>
      </c>
      <c r="B24" s="8">
        <f t="shared" si="0"/>
        <v>0</v>
      </c>
      <c r="C24" s="70"/>
      <c r="D24" s="70"/>
      <c r="E24" s="70"/>
      <c r="F24" s="71"/>
    </row>
    <row r="25" spans="1:6" s="2" customFormat="1" ht="30.75" customHeight="1">
      <c r="A25" s="104" t="s">
        <v>7</v>
      </c>
      <c r="B25" s="8">
        <f>C25+D25+E25+F25</f>
        <v>12345.089</v>
      </c>
      <c r="C25" s="17">
        <f>C26+C27+C29</f>
        <v>6275.766</v>
      </c>
      <c r="D25" s="17"/>
      <c r="E25" s="17">
        <f>E26+E27</f>
        <v>2099.081</v>
      </c>
      <c r="F25" s="18">
        <f>F26+F27</f>
        <v>3970.242</v>
      </c>
    </row>
    <row r="26" spans="1:6" s="2" customFormat="1" ht="18" customHeight="1">
      <c r="A26" s="100" t="s">
        <v>48</v>
      </c>
      <c r="B26" s="8">
        <f t="shared" si="0"/>
        <v>9682.121</v>
      </c>
      <c r="C26" s="8">
        <f>6275.766</f>
        <v>6275.766</v>
      </c>
      <c r="D26" s="8"/>
      <c r="E26" s="17">
        <v>2027.367</v>
      </c>
      <c r="F26" s="18">
        <v>1378.988</v>
      </c>
    </row>
    <row r="27" spans="1:6" s="2" customFormat="1" ht="23.25" customHeight="1">
      <c r="A27" s="101" t="s">
        <v>10</v>
      </c>
      <c r="B27" s="8">
        <f t="shared" si="0"/>
        <v>2662.9680000000003</v>
      </c>
      <c r="C27" s="8"/>
      <c r="D27" s="8"/>
      <c r="E27" s="17">
        <f>E28+E29</f>
        <v>71.714</v>
      </c>
      <c r="F27" s="18">
        <f>F28+F29</f>
        <v>2591.2540000000004</v>
      </c>
    </row>
    <row r="28" spans="1:6" s="2" customFormat="1" ht="36" customHeight="1">
      <c r="A28" s="101" t="s">
        <v>11</v>
      </c>
      <c r="B28" s="8">
        <f t="shared" si="0"/>
        <v>2630.686</v>
      </c>
      <c r="C28" s="70"/>
      <c r="D28" s="70"/>
      <c r="E28" s="70">
        <v>71.714</v>
      </c>
      <c r="F28" s="71">
        <f>2425.811+133.161</f>
        <v>2558.972</v>
      </c>
    </row>
    <row r="29" spans="1:6" s="2" customFormat="1" ht="23.25" customHeight="1">
      <c r="A29" s="101" t="s">
        <v>12</v>
      </c>
      <c r="B29" s="8">
        <f t="shared" si="0"/>
        <v>32.282</v>
      </c>
      <c r="C29" s="70"/>
      <c r="D29" s="70"/>
      <c r="E29" s="70"/>
      <c r="F29" s="71">
        <v>32.282</v>
      </c>
    </row>
    <row r="30" spans="1:7" s="2" customFormat="1" ht="25.5" customHeight="1">
      <c r="A30" s="104" t="s">
        <v>38</v>
      </c>
      <c r="B30" s="8">
        <f t="shared" si="0"/>
        <v>110.364</v>
      </c>
      <c r="C30" s="17"/>
      <c r="D30" s="17"/>
      <c r="E30" s="17">
        <f>E31+E32</f>
        <v>65.648</v>
      </c>
      <c r="F30" s="18">
        <f>F31+F32</f>
        <v>44.71600000000001</v>
      </c>
      <c r="G30" s="6"/>
    </row>
    <row r="31" spans="1:6" s="2" customFormat="1" ht="19.5" customHeight="1">
      <c r="A31" s="101" t="s">
        <v>13</v>
      </c>
      <c r="B31" s="8">
        <f t="shared" si="0"/>
        <v>86.341</v>
      </c>
      <c r="C31" s="8"/>
      <c r="D31" s="8"/>
      <c r="E31" s="17">
        <v>65.648</v>
      </c>
      <c r="F31" s="18">
        <v>20.693</v>
      </c>
    </row>
    <row r="32" spans="1:6" s="2" customFormat="1" ht="19.5" customHeight="1">
      <c r="A32" s="101" t="s">
        <v>10</v>
      </c>
      <c r="B32" s="8">
        <f t="shared" si="0"/>
        <v>24.023000000000003</v>
      </c>
      <c r="C32" s="8"/>
      <c r="D32" s="8"/>
      <c r="E32" s="17">
        <f>E33+E34</f>
        <v>0</v>
      </c>
      <c r="F32" s="18">
        <f>F33+F34</f>
        <v>24.023000000000003</v>
      </c>
    </row>
    <row r="33" spans="1:6" s="2" customFormat="1" ht="19.5" customHeight="1">
      <c r="A33" s="101" t="s">
        <v>11</v>
      </c>
      <c r="B33" s="8">
        <f t="shared" si="0"/>
        <v>19.69</v>
      </c>
      <c r="C33" s="70"/>
      <c r="D33" s="70"/>
      <c r="E33" s="70"/>
      <c r="F33" s="71">
        <v>19.69</v>
      </c>
    </row>
    <row r="34" spans="1:6" s="2" customFormat="1" ht="19.5" customHeight="1">
      <c r="A34" s="101" t="s">
        <v>12</v>
      </c>
      <c r="B34" s="8">
        <f t="shared" si="0"/>
        <v>4.333</v>
      </c>
      <c r="C34" s="70"/>
      <c r="D34" s="70"/>
      <c r="E34" s="70"/>
      <c r="F34" s="71">
        <v>4.333</v>
      </c>
    </row>
    <row r="35" spans="1:6" s="2" customFormat="1" ht="24.75" customHeight="1">
      <c r="A35" s="104" t="s">
        <v>39</v>
      </c>
      <c r="B35" s="8">
        <f t="shared" si="0"/>
        <v>199.453</v>
      </c>
      <c r="C35" s="17">
        <f>C36+C37</f>
        <v>0</v>
      </c>
      <c r="D35" s="72"/>
      <c r="E35" s="17">
        <f>E36+E37</f>
        <v>0</v>
      </c>
      <c r="F35" s="18">
        <f>F36+F37</f>
        <v>199.453</v>
      </c>
    </row>
    <row r="36" spans="1:6" s="2" customFormat="1" ht="24.75" customHeight="1">
      <c r="A36" s="101" t="s">
        <v>13</v>
      </c>
      <c r="B36" s="8">
        <f t="shared" si="0"/>
        <v>185.693</v>
      </c>
      <c r="C36" s="8"/>
      <c r="D36" s="8"/>
      <c r="E36" s="8"/>
      <c r="F36" s="9">
        <v>185.693</v>
      </c>
    </row>
    <row r="37" spans="1:6" s="2" customFormat="1" ht="24.75" customHeight="1">
      <c r="A37" s="101" t="s">
        <v>10</v>
      </c>
      <c r="B37" s="8">
        <f t="shared" si="0"/>
        <v>13.76</v>
      </c>
      <c r="C37" s="17">
        <f>C38+C39</f>
        <v>0</v>
      </c>
      <c r="D37" s="8"/>
      <c r="E37" s="17"/>
      <c r="F37" s="18">
        <f>F38+F39</f>
        <v>13.76</v>
      </c>
    </row>
    <row r="38" spans="1:6" s="2" customFormat="1" ht="24.75" customHeight="1">
      <c r="A38" s="101" t="s">
        <v>11</v>
      </c>
      <c r="B38" s="8">
        <f t="shared" si="0"/>
        <v>0</v>
      </c>
      <c r="C38" s="72"/>
      <c r="D38" s="72"/>
      <c r="E38" s="72"/>
      <c r="F38" s="12"/>
    </row>
    <row r="39" spans="1:6" s="2" customFormat="1" ht="24.75" customHeight="1">
      <c r="A39" s="101" t="s">
        <v>12</v>
      </c>
      <c r="B39" s="8">
        <f t="shared" si="0"/>
        <v>13.76</v>
      </c>
      <c r="C39" s="72"/>
      <c r="D39" s="72"/>
      <c r="E39" s="72"/>
      <c r="F39" s="12">
        <v>13.76</v>
      </c>
    </row>
    <row r="40" spans="1:6" s="2" customFormat="1" ht="24.75" customHeight="1">
      <c r="A40" s="104" t="s">
        <v>24</v>
      </c>
      <c r="B40" s="8">
        <f t="shared" si="0"/>
        <v>188.801</v>
      </c>
      <c r="C40" s="72">
        <f>C41+C42</f>
        <v>4.63</v>
      </c>
      <c r="D40" s="72">
        <f>D41+D42</f>
        <v>0</v>
      </c>
      <c r="E40" s="72">
        <f>E41+E42</f>
        <v>184.171</v>
      </c>
      <c r="F40" s="73">
        <f>F41+F42</f>
        <v>0</v>
      </c>
    </row>
    <row r="41" spans="1:6" s="2" customFormat="1" ht="24.75" customHeight="1">
      <c r="A41" s="101" t="s">
        <v>13</v>
      </c>
      <c r="B41" s="8">
        <f t="shared" si="0"/>
        <v>188.801</v>
      </c>
      <c r="C41" s="8">
        <v>4.63</v>
      </c>
      <c r="D41" s="8"/>
      <c r="E41" s="8">
        <v>184.171</v>
      </c>
      <c r="F41" s="9"/>
    </row>
    <row r="42" spans="1:6" s="2" customFormat="1" ht="24.75" customHeight="1">
      <c r="A42" s="101" t="s">
        <v>10</v>
      </c>
      <c r="B42" s="8">
        <f t="shared" si="0"/>
        <v>0</v>
      </c>
      <c r="C42" s="8"/>
      <c r="D42" s="8"/>
      <c r="E42" s="17">
        <f>E43+E44</f>
        <v>0</v>
      </c>
      <c r="F42" s="18">
        <f>F43+F44</f>
        <v>0</v>
      </c>
    </row>
    <row r="43" spans="1:6" s="2" customFormat="1" ht="24.75" customHeight="1">
      <c r="A43" s="101" t="s">
        <v>11</v>
      </c>
      <c r="B43" s="8">
        <f t="shared" si="0"/>
        <v>0</v>
      </c>
      <c r="C43" s="72"/>
      <c r="D43" s="72"/>
      <c r="E43" s="72"/>
      <c r="F43" s="12"/>
    </row>
    <row r="44" spans="1:6" s="2" customFormat="1" ht="24.75" customHeight="1">
      <c r="A44" s="101" t="s">
        <v>12</v>
      </c>
      <c r="B44" s="8">
        <f t="shared" si="0"/>
        <v>0</v>
      </c>
      <c r="C44" s="72"/>
      <c r="D44" s="72"/>
      <c r="E44" s="72"/>
      <c r="F44" s="12"/>
    </row>
    <row r="45" spans="1:6" s="2" customFormat="1" ht="50.25" customHeight="1">
      <c r="A45" s="81" t="s">
        <v>26</v>
      </c>
      <c r="B45" s="8">
        <f t="shared" si="0"/>
        <v>449.877</v>
      </c>
      <c r="C45" s="10"/>
      <c r="D45" s="8"/>
      <c r="E45" s="8">
        <f>E46+E47</f>
        <v>314.983</v>
      </c>
      <c r="F45" s="9">
        <f>F46+F47</f>
        <v>134.894</v>
      </c>
    </row>
    <row r="46" spans="1:6" s="2" customFormat="1" ht="26.25" customHeight="1">
      <c r="A46" s="101" t="s">
        <v>13</v>
      </c>
      <c r="B46" s="8">
        <f t="shared" si="0"/>
        <v>449.877</v>
      </c>
      <c r="C46" s="8"/>
      <c r="D46" s="8"/>
      <c r="E46" s="17">
        <v>314.983</v>
      </c>
      <c r="F46" s="18">
        <v>134.894</v>
      </c>
    </row>
    <row r="47" spans="1:6" s="2" customFormat="1" ht="26.25" customHeight="1">
      <c r="A47" s="101" t="s">
        <v>10</v>
      </c>
      <c r="B47" s="8">
        <f t="shared" si="0"/>
        <v>0</v>
      </c>
      <c r="C47" s="8"/>
      <c r="D47" s="8"/>
      <c r="E47" s="17">
        <f>E48+E49</f>
        <v>0</v>
      </c>
      <c r="F47" s="18">
        <f>F48+F49</f>
        <v>0</v>
      </c>
    </row>
    <row r="48" spans="1:6" s="2" customFormat="1" ht="45" customHeight="1">
      <c r="A48" s="101" t="s">
        <v>11</v>
      </c>
      <c r="B48" s="8">
        <f t="shared" si="0"/>
        <v>0</v>
      </c>
      <c r="C48" s="10"/>
      <c r="D48" s="8"/>
      <c r="E48" s="10"/>
      <c r="F48" s="14"/>
    </row>
    <row r="49" spans="1:6" s="2" customFormat="1" ht="26.25" customHeight="1">
      <c r="A49" s="101" t="s">
        <v>12</v>
      </c>
      <c r="B49" s="8">
        <f t="shared" si="0"/>
        <v>0</v>
      </c>
      <c r="C49" s="10"/>
      <c r="D49" s="8"/>
      <c r="E49" s="10"/>
      <c r="F49" s="14"/>
    </row>
    <row r="50" spans="1:6" s="2" customFormat="1" ht="24.75" customHeight="1">
      <c r="A50" s="81" t="s">
        <v>4</v>
      </c>
      <c r="B50" s="8">
        <f t="shared" si="0"/>
        <v>757.043</v>
      </c>
      <c r="C50" s="8">
        <f>C51+C52+C58</f>
        <v>757.043</v>
      </c>
      <c r="D50" s="8"/>
      <c r="E50" s="8"/>
      <c r="F50" s="9"/>
    </row>
    <row r="51" spans="1:6" s="2" customFormat="1" ht="21.75" customHeight="1">
      <c r="A51" s="101" t="s">
        <v>13</v>
      </c>
      <c r="B51" s="8">
        <f t="shared" si="0"/>
        <v>757.043</v>
      </c>
      <c r="C51" s="17">
        <f>757.043</f>
        <v>757.043</v>
      </c>
      <c r="D51" s="8"/>
      <c r="E51" s="17">
        <f>E50-E58</f>
        <v>0</v>
      </c>
      <c r="F51" s="18"/>
    </row>
    <row r="52" spans="1:6" s="2" customFormat="1" ht="19.5" customHeight="1">
      <c r="A52" s="101" t="s">
        <v>10</v>
      </c>
      <c r="B52" s="8">
        <f t="shared" si="0"/>
        <v>0</v>
      </c>
      <c r="C52" s="17">
        <f>C53+C54</f>
        <v>0</v>
      </c>
      <c r="D52" s="8"/>
      <c r="E52" s="17">
        <f>E53+E54</f>
        <v>0</v>
      </c>
      <c r="F52" s="18">
        <f>F53+F54</f>
        <v>0</v>
      </c>
    </row>
    <row r="53" spans="1:6" s="2" customFormat="1" ht="19.5" customHeight="1">
      <c r="A53" s="101" t="s">
        <v>11</v>
      </c>
      <c r="B53" s="8">
        <f t="shared" si="0"/>
        <v>0</v>
      </c>
      <c r="C53" s="70"/>
      <c r="D53" s="8"/>
      <c r="E53" s="8"/>
      <c r="F53" s="9"/>
    </row>
    <row r="54" spans="1:7" s="46" customFormat="1" ht="24.75" customHeight="1">
      <c r="A54" s="101" t="s">
        <v>12</v>
      </c>
      <c r="B54" s="8">
        <f t="shared" si="0"/>
        <v>0</v>
      </c>
      <c r="C54" s="70"/>
      <c r="D54" s="8"/>
      <c r="E54" s="8"/>
      <c r="F54" s="9"/>
      <c r="G54" s="45"/>
    </row>
    <row r="55" spans="1:6" s="46" customFormat="1" ht="50.25" customHeight="1">
      <c r="A55" s="104" t="s">
        <v>40</v>
      </c>
      <c r="B55" s="8">
        <f>C55+D55+E55+F55</f>
        <v>1997.9060000000002</v>
      </c>
      <c r="C55" s="8">
        <f>C56+C57</f>
        <v>1016.956</v>
      </c>
      <c r="D55" s="8">
        <f>D56+D57</f>
        <v>0</v>
      </c>
      <c r="E55" s="8">
        <f>E56+E57</f>
        <v>481.924</v>
      </c>
      <c r="F55" s="9">
        <f>F56+F57</f>
        <v>499.02600000000007</v>
      </c>
    </row>
    <row r="56" spans="1:7" s="46" customFormat="1" ht="26.25" customHeight="1">
      <c r="A56" s="101" t="s">
        <v>13</v>
      </c>
      <c r="B56" s="8">
        <f>F56+E56+D56+C56</f>
        <v>1637.138</v>
      </c>
      <c r="C56" s="17">
        <v>1016.956</v>
      </c>
      <c r="D56" s="8"/>
      <c r="E56" s="8">
        <v>481.924</v>
      </c>
      <c r="F56" s="9">
        <v>138.258</v>
      </c>
      <c r="G56" s="45"/>
    </row>
    <row r="57" spans="1:6" s="6" customFormat="1" ht="27.75" customHeight="1">
      <c r="A57" s="101" t="s">
        <v>10</v>
      </c>
      <c r="B57" s="8">
        <f aca="true" t="shared" si="1" ref="B57:B109">C57+D57+E57+F57</f>
        <v>360.76800000000003</v>
      </c>
      <c r="C57" s="70"/>
      <c r="D57" s="8"/>
      <c r="E57" s="8">
        <f>E59+E58</f>
        <v>0</v>
      </c>
      <c r="F57" s="9">
        <f>F59+F58</f>
        <v>360.76800000000003</v>
      </c>
    </row>
    <row r="58" spans="1:6" s="3" customFormat="1" ht="25.5" customHeight="1">
      <c r="A58" s="101" t="s">
        <v>11</v>
      </c>
      <c r="B58" s="8">
        <f t="shared" si="1"/>
        <v>329.295</v>
      </c>
      <c r="C58" s="70"/>
      <c r="D58" s="8"/>
      <c r="E58" s="8"/>
      <c r="F58" s="14">
        <v>329.295</v>
      </c>
    </row>
    <row r="59" spans="1:7" s="3" customFormat="1" ht="25.5" customHeight="1">
      <c r="A59" s="101" t="s">
        <v>12</v>
      </c>
      <c r="B59" s="8">
        <f t="shared" si="1"/>
        <v>31.473</v>
      </c>
      <c r="C59" s="70"/>
      <c r="D59" s="8"/>
      <c r="E59" s="8"/>
      <c r="F59" s="14">
        <v>31.473</v>
      </c>
      <c r="G59" s="30"/>
    </row>
    <row r="60" spans="1:6" s="6" customFormat="1" ht="40.5" customHeight="1">
      <c r="A60" s="104" t="s">
        <v>25</v>
      </c>
      <c r="B60" s="8">
        <f t="shared" si="1"/>
        <v>2160.5939999999996</v>
      </c>
      <c r="C60" s="8">
        <f>C61+C62</f>
        <v>2145.394</v>
      </c>
      <c r="D60" s="8"/>
      <c r="E60" s="8">
        <f>E61+E62</f>
        <v>0</v>
      </c>
      <c r="F60" s="9">
        <f>F61+F62</f>
        <v>15.2</v>
      </c>
    </row>
    <row r="61" spans="1:6" s="3" customFormat="1" ht="26.25" customHeight="1">
      <c r="A61" s="101" t="s">
        <v>13</v>
      </c>
      <c r="B61" s="8">
        <f t="shared" si="1"/>
        <v>2160.5939999999996</v>
      </c>
      <c r="C61" s="17">
        <f>2145.394</f>
        <v>2145.394</v>
      </c>
      <c r="D61" s="17"/>
      <c r="E61" s="17"/>
      <c r="F61" s="18">
        <v>15.2</v>
      </c>
    </row>
    <row r="62" spans="1:7" s="3" customFormat="1" ht="18.75">
      <c r="A62" s="101" t="s">
        <v>10</v>
      </c>
      <c r="B62" s="8">
        <f t="shared" si="1"/>
        <v>0</v>
      </c>
      <c r="C62" s="70"/>
      <c r="D62" s="8"/>
      <c r="E62" s="8">
        <f>E64+E63</f>
        <v>0</v>
      </c>
      <c r="F62" s="9">
        <f>F64+F63</f>
        <v>0</v>
      </c>
      <c r="G62" s="34"/>
    </row>
    <row r="63" spans="1:6" ht="18.75">
      <c r="A63" s="101" t="s">
        <v>11</v>
      </c>
      <c r="B63" s="8">
        <f t="shared" si="1"/>
        <v>0</v>
      </c>
      <c r="C63" s="70"/>
      <c r="D63" s="8"/>
      <c r="E63" s="10"/>
      <c r="F63" s="14"/>
    </row>
    <row r="64" spans="1:6" ht="18.75">
      <c r="A64" s="101" t="s">
        <v>12</v>
      </c>
      <c r="B64" s="8">
        <f t="shared" si="1"/>
        <v>0</v>
      </c>
      <c r="C64" s="70"/>
      <c r="D64" s="8"/>
      <c r="E64" s="10"/>
      <c r="F64" s="14"/>
    </row>
    <row r="65" spans="1:6" ht="18">
      <c r="A65" s="104" t="s">
        <v>41</v>
      </c>
      <c r="B65" s="8">
        <f t="shared" si="1"/>
        <v>55.806</v>
      </c>
      <c r="C65" s="8">
        <f>C66+C67</f>
        <v>0</v>
      </c>
      <c r="D65" s="8"/>
      <c r="E65" s="8">
        <f>E66+E67</f>
        <v>55.806</v>
      </c>
      <c r="F65" s="9">
        <f>F66+F67</f>
        <v>0</v>
      </c>
    </row>
    <row r="66" spans="1:6" ht="18.75">
      <c r="A66" s="101" t="s">
        <v>13</v>
      </c>
      <c r="B66" s="8">
        <f t="shared" si="1"/>
        <v>55.806</v>
      </c>
      <c r="C66" s="82"/>
      <c r="D66" s="82"/>
      <c r="E66" s="82">
        <v>55.806</v>
      </c>
      <c r="F66" s="83"/>
    </row>
    <row r="67" spans="1:6" ht="18.75">
      <c r="A67" s="101" t="s">
        <v>10</v>
      </c>
      <c r="B67" s="8">
        <f t="shared" si="1"/>
        <v>0</v>
      </c>
      <c r="C67" s="70"/>
      <c r="D67" s="8"/>
      <c r="E67" s="8">
        <f>E69+E68</f>
        <v>0</v>
      </c>
      <c r="F67" s="9">
        <f>F69+F68</f>
        <v>0</v>
      </c>
    </row>
    <row r="68" spans="1:6" ht="18.75">
      <c r="A68" s="101" t="s">
        <v>11</v>
      </c>
      <c r="B68" s="8">
        <f t="shared" si="1"/>
        <v>0</v>
      </c>
      <c r="C68" s="70"/>
      <c r="D68" s="8"/>
      <c r="E68" s="10"/>
      <c r="F68" s="14"/>
    </row>
    <row r="69" spans="1:6" ht="18.75">
      <c r="A69" s="101" t="s">
        <v>12</v>
      </c>
      <c r="B69" s="8">
        <f t="shared" si="1"/>
        <v>0</v>
      </c>
      <c r="C69" s="70"/>
      <c r="D69" s="8"/>
      <c r="E69" s="10"/>
      <c r="F69" s="14"/>
    </row>
    <row r="70" spans="1:6" ht="36">
      <c r="A70" s="104" t="s">
        <v>23</v>
      </c>
      <c r="B70" s="8">
        <f t="shared" si="1"/>
        <v>101.316</v>
      </c>
      <c r="C70" s="70"/>
      <c r="D70" s="8"/>
      <c r="E70" s="8">
        <f>E71+E72</f>
        <v>0</v>
      </c>
      <c r="F70" s="9">
        <f>F71+F72</f>
        <v>101.316</v>
      </c>
    </row>
    <row r="71" spans="1:6" ht="18.75">
      <c r="A71" s="101" t="s">
        <v>13</v>
      </c>
      <c r="B71" s="8">
        <f t="shared" si="1"/>
        <v>18.4</v>
      </c>
      <c r="C71" s="70"/>
      <c r="D71" s="8"/>
      <c r="E71" s="8"/>
      <c r="F71" s="84">
        <v>18.4</v>
      </c>
    </row>
    <row r="72" spans="1:6" ht="18.75">
      <c r="A72" s="101" t="s">
        <v>10</v>
      </c>
      <c r="B72" s="8">
        <f t="shared" si="1"/>
        <v>82.916</v>
      </c>
      <c r="C72" s="70"/>
      <c r="D72" s="8"/>
      <c r="E72" s="8">
        <f>E74+E73</f>
        <v>0</v>
      </c>
      <c r="F72" s="9">
        <f>F74+F73</f>
        <v>82.916</v>
      </c>
    </row>
    <row r="73" spans="1:6" ht="18.75">
      <c r="A73" s="101" t="s">
        <v>11</v>
      </c>
      <c r="B73" s="8">
        <f t="shared" si="1"/>
        <v>82.916</v>
      </c>
      <c r="C73" s="70"/>
      <c r="D73" s="8"/>
      <c r="E73" s="10"/>
      <c r="F73" s="14">
        <v>82.916</v>
      </c>
    </row>
    <row r="74" spans="1:6" ht="18.75">
      <c r="A74" s="101" t="s">
        <v>12</v>
      </c>
      <c r="B74" s="8">
        <f t="shared" si="1"/>
        <v>0</v>
      </c>
      <c r="C74" s="70"/>
      <c r="D74" s="8"/>
      <c r="E74" s="10"/>
      <c r="F74" s="14"/>
    </row>
    <row r="75" spans="1:6" ht="36">
      <c r="A75" s="104" t="s">
        <v>42</v>
      </c>
      <c r="B75" s="8">
        <f t="shared" si="1"/>
        <v>252.628</v>
      </c>
      <c r="C75" s="70"/>
      <c r="D75" s="8"/>
      <c r="E75" s="8">
        <f>E76+E77</f>
        <v>23.137</v>
      </c>
      <c r="F75" s="9">
        <f>F76+F77</f>
        <v>229.49099999999999</v>
      </c>
    </row>
    <row r="76" spans="1:6" ht="18.75">
      <c r="A76" s="101" t="s">
        <v>13</v>
      </c>
      <c r="B76" s="8">
        <f t="shared" si="1"/>
        <v>82.678</v>
      </c>
      <c r="C76" s="70"/>
      <c r="D76" s="8"/>
      <c r="E76" s="8">
        <v>23.137</v>
      </c>
      <c r="F76" s="84">
        <v>59.541</v>
      </c>
    </row>
    <row r="77" spans="1:6" ht="18.75">
      <c r="A77" s="101" t="s">
        <v>10</v>
      </c>
      <c r="B77" s="8">
        <f t="shared" si="1"/>
        <v>169.95</v>
      </c>
      <c r="C77" s="70"/>
      <c r="D77" s="8"/>
      <c r="E77" s="8">
        <f>E79+E78</f>
        <v>0</v>
      </c>
      <c r="F77" s="9">
        <f>F79+F78</f>
        <v>169.95</v>
      </c>
    </row>
    <row r="78" spans="1:6" ht="18.75">
      <c r="A78" s="101" t="s">
        <v>11</v>
      </c>
      <c r="B78" s="8">
        <f t="shared" si="1"/>
        <v>0</v>
      </c>
      <c r="C78" s="70"/>
      <c r="D78" s="8"/>
      <c r="E78" s="8"/>
      <c r="F78" s="9"/>
    </row>
    <row r="79" spans="1:6" ht="18.75">
      <c r="A79" s="101" t="s">
        <v>12</v>
      </c>
      <c r="B79" s="8">
        <f t="shared" si="1"/>
        <v>169.95</v>
      </c>
      <c r="C79" s="70"/>
      <c r="D79" s="8"/>
      <c r="E79" s="8"/>
      <c r="F79" s="14">
        <v>169.95</v>
      </c>
    </row>
    <row r="80" spans="1:6" ht="18">
      <c r="A80" s="104" t="s">
        <v>21</v>
      </c>
      <c r="B80" s="8">
        <f t="shared" si="1"/>
        <v>496.404</v>
      </c>
      <c r="C80" s="8">
        <f>C81+C82</f>
        <v>0</v>
      </c>
      <c r="D80" s="8"/>
      <c r="E80" s="8">
        <f>E81+E82</f>
        <v>496.404</v>
      </c>
      <c r="F80" s="9">
        <f>F81+F82</f>
        <v>0</v>
      </c>
    </row>
    <row r="81" spans="1:6" ht="18.75">
      <c r="A81" s="101" t="s">
        <v>13</v>
      </c>
      <c r="B81" s="8">
        <f t="shared" si="1"/>
        <v>496.404</v>
      </c>
      <c r="C81" s="82"/>
      <c r="D81" s="82"/>
      <c r="E81" s="82">
        <v>496.404</v>
      </c>
      <c r="F81" s="83"/>
    </row>
    <row r="82" spans="1:6" ht="18.75">
      <c r="A82" s="101" t="s">
        <v>10</v>
      </c>
      <c r="B82" s="8">
        <f t="shared" si="1"/>
        <v>0</v>
      </c>
      <c r="C82" s="70"/>
      <c r="D82" s="8"/>
      <c r="E82" s="8">
        <f>E84+E83</f>
        <v>0</v>
      </c>
      <c r="F82" s="9">
        <f>F84+F83</f>
        <v>0</v>
      </c>
    </row>
    <row r="83" spans="1:6" ht="18.75">
      <c r="A83" s="101" t="s">
        <v>11</v>
      </c>
      <c r="B83" s="8">
        <f t="shared" si="1"/>
        <v>0</v>
      </c>
      <c r="C83" s="70"/>
      <c r="D83" s="8"/>
      <c r="E83" s="10"/>
      <c r="F83" s="14"/>
    </row>
    <row r="84" spans="1:6" ht="18.75">
      <c r="A84" s="101" t="s">
        <v>12</v>
      </c>
      <c r="B84" s="8">
        <f t="shared" si="1"/>
        <v>0</v>
      </c>
      <c r="C84" s="70"/>
      <c r="D84" s="8"/>
      <c r="E84" s="10"/>
      <c r="F84" s="14"/>
    </row>
    <row r="85" spans="1:6" ht="18">
      <c r="A85" s="104" t="s">
        <v>22</v>
      </c>
      <c r="B85" s="8">
        <f t="shared" si="1"/>
        <v>623.323</v>
      </c>
      <c r="C85" s="70"/>
      <c r="D85" s="8"/>
      <c r="E85" s="8">
        <f>E86+E87</f>
        <v>623.323</v>
      </c>
      <c r="F85" s="9">
        <f>F86+F87</f>
        <v>0</v>
      </c>
    </row>
    <row r="86" spans="1:6" ht="18.75">
      <c r="A86" s="101" t="s">
        <v>13</v>
      </c>
      <c r="B86" s="8">
        <f t="shared" si="1"/>
        <v>623.323</v>
      </c>
      <c r="C86" s="70"/>
      <c r="D86" s="8"/>
      <c r="E86" s="8">
        <f>623.323</f>
        <v>623.323</v>
      </c>
      <c r="F86" s="84"/>
    </row>
    <row r="87" spans="1:6" ht="18.75">
      <c r="A87" s="101" t="s">
        <v>10</v>
      </c>
      <c r="B87" s="8">
        <f t="shared" si="1"/>
        <v>0</v>
      </c>
      <c r="C87" s="70"/>
      <c r="D87" s="8"/>
      <c r="E87" s="8">
        <f>E89+E88</f>
        <v>0</v>
      </c>
      <c r="F87" s="9">
        <f>F89+F88</f>
        <v>0</v>
      </c>
    </row>
    <row r="88" spans="1:6" ht="18.75">
      <c r="A88" s="101" t="s">
        <v>11</v>
      </c>
      <c r="B88" s="8">
        <f t="shared" si="1"/>
        <v>0</v>
      </c>
      <c r="C88" s="70"/>
      <c r="D88" s="8"/>
      <c r="E88" s="10"/>
      <c r="F88" s="14"/>
    </row>
    <row r="89" spans="1:6" ht="18.75">
      <c r="A89" s="101" t="s">
        <v>12</v>
      </c>
      <c r="B89" s="8">
        <f t="shared" si="1"/>
        <v>0</v>
      </c>
      <c r="C89" s="70"/>
      <c r="D89" s="8"/>
      <c r="E89" s="10"/>
      <c r="F89" s="14"/>
    </row>
    <row r="90" spans="1:6" ht="18">
      <c r="A90" s="104" t="s">
        <v>49</v>
      </c>
      <c r="B90" s="8">
        <f t="shared" si="1"/>
        <v>0</v>
      </c>
      <c r="C90" s="70"/>
      <c r="D90" s="8"/>
      <c r="E90" s="8">
        <f>E91+E92</f>
        <v>0</v>
      </c>
      <c r="F90" s="9">
        <f>F91+F92</f>
        <v>0</v>
      </c>
    </row>
    <row r="91" spans="1:6" ht="18.75">
      <c r="A91" s="101" t="s">
        <v>13</v>
      </c>
      <c r="B91" s="8">
        <f t="shared" si="1"/>
        <v>0</v>
      </c>
      <c r="C91" s="70"/>
      <c r="D91" s="8"/>
      <c r="E91" s="8"/>
      <c r="F91" s="84"/>
    </row>
    <row r="92" spans="1:6" ht="18.75">
      <c r="A92" s="101" t="s">
        <v>10</v>
      </c>
      <c r="B92" s="8">
        <f t="shared" si="1"/>
        <v>0</v>
      </c>
      <c r="C92" s="70"/>
      <c r="D92" s="8"/>
      <c r="E92" s="8">
        <f>E94+E93</f>
        <v>0</v>
      </c>
      <c r="F92" s="9">
        <f>F94+F93</f>
        <v>0</v>
      </c>
    </row>
    <row r="93" spans="1:6" ht="18.75">
      <c r="A93" s="101" t="s">
        <v>11</v>
      </c>
      <c r="B93" s="8">
        <f t="shared" si="1"/>
        <v>0</v>
      </c>
      <c r="C93" s="70"/>
      <c r="D93" s="8"/>
      <c r="E93" s="8"/>
      <c r="F93" s="9"/>
    </row>
    <row r="94" spans="1:6" ht="18.75">
      <c r="A94" s="101" t="s">
        <v>12</v>
      </c>
      <c r="B94" s="8">
        <f t="shared" si="1"/>
        <v>0</v>
      </c>
      <c r="C94" s="70"/>
      <c r="D94" s="8"/>
      <c r="E94" s="8"/>
      <c r="F94" s="9"/>
    </row>
    <row r="95" spans="1:6" ht="18">
      <c r="A95" s="104" t="s">
        <v>8</v>
      </c>
      <c r="B95" s="8">
        <f t="shared" si="1"/>
        <v>1759.016</v>
      </c>
      <c r="C95" s="17">
        <f>C96+C97</f>
        <v>0</v>
      </c>
      <c r="D95" s="8"/>
      <c r="E95" s="8">
        <f>E96+E97</f>
        <v>893.874</v>
      </c>
      <c r="F95" s="9">
        <f>F96+F97</f>
        <v>865.142</v>
      </c>
    </row>
    <row r="96" spans="1:6" ht="18.75">
      <c r="A96" s="101" t="s">
        <v>13</v>
      </c>
      <c r="B96" s="8">
        <f t="shared" si="1"/>
        <v>1012.663</v>
      </c>
      <c r="C96" s="8"/>
      <c r="D96" s="8"/>
      <c r="E96" s="17">
        <v>788.951</v>
      </c>
      <c r="F96" s="18">
        <v>223.712</v>
      </c>
    </row>
    <row r="97" spans="1:6" ht="18.75">
      <c r="A97" s="101" t="s">
        <v>10</v>
      </c>
      <c r="B97" s="8">
        <f t="shared" si="1"/>
        <v>746.3530000000001</v>
      </c>
      <c r="C97" s="8"/>
      <c r="D97" s="8"/>
      <c r="E97" s="8">
        <f>E99+E98</f>
        <v>104.92300000000002</v>
      </c>
      <c r="F97" s="9">
        <f>F99+F98</f>
        <v>641.4300000000001</v>
      </c>
    </row>
    <row r="98" spans="1:6" ht="18.75">
      <c r="A98" s="101" t="s">
        <v>11</v>
      </c>
      <c r="B98" s="8">
        <f t="shared" si="1"/>
        <v>642.902</v>
      </c>
      <c r="C98" s="8"/>
      <c r="D98" s="8"/>
      <c r="E98" s="70">
        <f>93.391+9.12</f>
        <v>102.51100000000001</v>
      </c>
      <c r="F98" s="71">
        <f>491.331+49.06</f>
        <v>540.3910000000001</v>
      </c>
    </row>
    <row r="99" spans="1:6" ht="18.75">
      <c r="A99" s="101" t="s">
        <v>12</v>
      </c>
      <c r="B99" s="8">
        <f t="shared" si="1"/>
        <v>103.45100000000001</v>
      </c>
      <c r="C99" s="8"/>
      <c r="D99" s="8"/>
      <c r="E99" s="70">
        <v>2.412</v>
      </c>
      <c r="F99" s="71">
        <f>101.039</f>
        <v>101.039</v>
      </c>
    </row>
    <row r="100" spans="1:6" ht="18">
      <c r="A100" s="104" t="s">
        <v>5</v>
      </c>
      <c r="B100" s="8">
        <f t="shared" si="1"/>
        <v>3468.328</v>
      </c>
      <c r="C100" s="17">
        <f>C101+C102</f>
        <v>352.584</v>
      </c>
      <c r="D100" s="8"/>
      <c r="E100" s="17">
        <f>E101+E102</f>
        <v>2177.641</v>
      </c>
      <c r="F100" s="18">
        <f>F101+F102</f>
        <v>938.103</v>
      </c>
    </row>
    <row r="101" spans="1:6" ht="18.75">
      <c r="A101" s="101" t="s">
        <v>13</v>
      </c>
      <c r="B101" s="8">
        <f t="shared" si="1"/>
        <v>2260.4</v>
      </c>
      <c r="C101" s="17">
        <v>352.584</v>
      </c>
      <c r="D101" s="8"/>
      <c r="E101" s="17">
        <v>1606.594</v>
      </c>
      <c r="F101" s="18">
        <v>301.222</v>
      </c>
    </row>
    <row r="102" spans="1:6" ht="18.75">
      <c r="A102" s="101" t="s">
        <v>10</v>
      </c>
      <c r="B102" s="8">
        <f t="shared" si="1"/>
        <v>1207.9279999999999</v>
      </c>
      <c r="C102" s="8"/>
      <c r="D102" s="8"/>
      <c r="E102" s="8">
        <f>E104+E103</f>
        <v>571.047</v>
      </c>
      <c r="F102" s="9">
        <f>F104+F103</f>
        <v>636.881</v>
      </c>
    </row>
    <row r="103" spans="1:6" ht="18.75">
      <c r="A103" s="101" t="s">
        <v>11</v>
      </c>
      <c r="B103" s="8">
        <f t="shared" si="1"/>
        <v>1198.0990000000002</v>
      </c>
      <c r="C103" s="70"/>
      <c r="D103" s="70"/>
      <c r="E103" s="70">
        <f>469.79+91.428</f>
        <v>561.2180000000001</v>
      </c>
      <c r="F103" s="71">
        <f>551.307+85.574</f>
        <v>636.881</v>
      </c>
    </row>
    <row r="104" spans="1:6" ht="18.75">
      <c r="A104" s="101" t="s">
        <v>12</v>
      </c>
      <c r="B104" s="8">
        <f t="shared" si="1"/>
        <v>9.829</v>
      </c>
      <c r="C104" s="70"/>
      <c r="D104" s="70"/>
      <c r="E104" s="70">
        <v>9.829</v>
      </c>
      <c r="F104" s="71"/>
    </row>
    <row r="105" spans="1:6" ht="18">
      <c r="A105" s="104" t="s">
        <v>43</v>
      </c>
      <c r="B105" s="8">
        <f t="shared" si="1"/>
        <v>6369.1990000000005</v>
      </c>
      <c r="C105" s="17"/>
      <c r="D105" s="8"/>
      <c r="E105" s="17">
        <f>E106+E107</f>
        <v>1491.927</v>
      </c>
      <c r="F105" s="18">
        <f>F106+F107</f>
        <v>4877.272000000001</v>
      </c>
    </row>
    <row r="106" spans="1:6" ht="18.75">
      <c r="A106" s="101" t="s">
        <v>13</v>
      </c>
      <c r="B106" s="8">
        <f t="shared" si="1"/>
        <v>3208.5879999999997</v>
      </c>
      <c r="C106" s="8"/>
      <c r="D106" s="8"/>
      <c r="E106" s="17">
        <v>1444.885</v>
      </c>
      <c r="F106" s="18">
        <v>1763.703</v>
      </c>
    </row>
    <row r="107" spans="1:6" ht="18.75">
      <c r="A107" s="101" t="s">
        <v>10</v>
      </c>
      <c r="B107" s="8">
        <f t="shared" si="1"/>
        <v>3160.6110000000003</v>
      </c>
      <c r="C107" s="8"/>
      <c r="D107" s="8"/>
      <c r="E107" s="17">
        <f>E108+E109</f>
        <v>47.042</v>
      </c>
      <c r="F107" s="18">
        <f>F108+F109</f>
        <v>3113.5690000000004</v>
      </c>
    </row>
    <row r="108" spans="1:6" ht="18.75">
      <c r="A108" s="101" t="s">
        <v>11</v>
      </c>
      <c r="B108" s="8">
        <f t="shared" si="1"/>
        <v>340.21999999999997</v>
      </c>
      <c r="C108" s="10"/>
      <c r="D108" s="8"/>
      <c r="E108" s="70">
        <v>19.806</v>
      </c>
      <c r="F108" s="71">
        <v>320.414</v>
      </c>
    </row>
    <row r="109" spans="1:6" ht="19.5" thickBot="1">
      <c r="A109" s="102" t="s">
        <v>12</v>
      </c>
      <c r="B109" s="19">
        <f t="shared" si="1"/>
        <v>2820.391</v>
      </c>
      <c r="C109" s="21"/>
      <c r="D109" s="19"/>
      <c r="E109" s="86">
        <v>27.236</v>
      </c>
      <c r="F109" s="87">
        <v>2793.155</v>
      </c>
    </row>
    <row r="110" spans="1:6" ht="18.75" thickBot="1">
      <c r="A110" s="105"/>
      <c r="B110" s="106"/>
      <c r="C110" s="106"/>
      <c r="D110" s="106"/>
      <c r="E110" s="106"/>
      <c r="F110" s="106"/>
    </row>
    <row r="111" spans="1:6" ht="35.25" customHeight="1" thickBot="1">
      <c r="A111" s="26" t="s">
        <v>50</v>
      </c>
      <c r="B111" s="113">
        <f>C111+D111+E111+F111</f>
        <v>127346.60500000001</v>
      </c>
      <c r="C111" s="118">
        <f>C105+C100+C95+C90+C85+C80+C75+C70+C65+C60+C55+C50+C45+C40+C35+C30+C25+C20+C15+C10+C5</f>
        <v>48169.583999999995</v>
      </c>
      <c r="D111" s="118">
        <f>D105+D100+D95+D90+D85+D80+D75+D70+D65+D60+D55+D50+D45+D40+D35+D30+D25+D20+D15+D10+D5</f>
        <v>2214.0029999999997</v>
      </c>
      <c r="E111" s="118">
        <f>E105+E100+E95+E90+E85+E80+E75+E70+E65+E60+E55+E50+E45+E40+E35+E30+E25+E20+E15+E10+E5</f>
        <v>33981.44</v>
      </c>
      <c r="F111" s="118">
        <f>F105+F100+F95+F90+F85+F80+F75+F70+F65+F60+F55+F50+F45+F40+F35+F30+F25+F20+F15+F10+F5</f>
        <v>42981.578</v>
      </c>
    </row>
    <row r="112" spans="1:6" ht="12.75">
      <c r="A112" s="105"/>
      <c r="B112" s="105"/>
      <c r="C112" s="105"/>
      <c r="D112" s="105"/>
      <c r="E112" s="105"/>
      <c r="F112" s="105"/>
    </row>
    <row r="113" spans="1:6" ht="20.25">
      <c r="A113" s="107"/>
      <c r="B113" s="121"/>
      <c r="C113" s="121"/>
      <c r="D113" s="121"/>
      <c r="E113" s="121"/>
      <c r="F113" s="121"/>
    </row>
    <row r="115" spans="2:6" ht="20.25">
      <c r="B115" s="108"/>
      <c r="C115" s="108"/>
      <c r="D115" s="108"/>
      <c r="E115" s="108"/>
      <c r="F115" s="108"/>
    </row>
  </sheetData>
  <sheetProtection/>
  <mergeCells count="2">
    <mergeCell ref="A1:F1"/>
    <mergeCell ref="A2:F2"/>
  </mergeCells>
  <printOptions horizontalCentered="1"/>
  <pageMargins left="0.03937007874015748" right="0.03937007874015748" top="0.1968503937007874" bottom="0.1968503937007874" header="0.5118110236220472" footer="0.5118110236220472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4"/>
  <sheetViews>
    <sheetView zoomScale="60" zoomScaleNormal="60" zoomScalePageLayoutView="0" workbookViewId="0" topLeftCell="A1">
      <pane xSplit="1" ySplit="4" topLeftCell="B62" activePane="bottomRight" state="frozen"/>
      <selection pane="topLeft" activeCell="I49" sqref="I49"/>
      <selection pane="topRight" activeCell="I49" sqref="I49"/>
      <selection pane="bottomLeft" activeCell="I49" sqref="I49"/>
      <selection pane="bottomRight" activeCell="T66" sqref="T66"/>
    </sheetView>
  </sheetViews>
  <sheetFormatPr defaultColWidth="9.00390625" defaultRowHeight="12.75"/>
  <cols>
    <col min="1" max="1" width="60.00390625" style="0" customWidth="1"/>
    <col min="2" max="6" width="25.25390625" style="0" customWidth="1"/>
  </cols>
  <sheetData>
    <row r="1" spans="1:6" s="36" customFormat="1" ht="47.25" customHeight="1">
      <c r="A1" s="185" t="s">
        <v>29</v>
      </c>
      <c r="B1" s="185"/>
      <c r="C1" s="185"/>
      <c r="D1" s="185"/>
      <c r="E1" s="185"/>
      <c r="F1" s="185"/>
    </row>
    <row r="2" spans="1:6" s="37" customFormat="1" ht="23.25">
      <c r="A2" s="186" t="s">
        <v>52</v>
      </c>
      <c r="B2" s="186"/>
      <c r="C2" s="186"/>
      <c r="D2" s="188"/>
      <c r="E2" s="188"/>
      <c r="F2" s="188"/>
    </row>
    <row r="3" s="3" customFormat="1" ht="18.75" thickBot="1">
      <c r="F3" s="56" t="s">
        <v>28</v>
      </c>
    </row>
    <row r="4" spans="1:6" s="1" customFormat="1" ht="29.25" customHeight="1" thickBot="1">
      <c r="A4" s="114" t="s">
        <v>16</v>
      </c>
      <c r="B4" s="115"/>
      <c r="C4" s="116" t="s">
        <v>0</v>
      </c>
      <c r="D4" s="116" t="s">
        <v>1</v>
      </c>
      <c r="E4" s="116" t="s">
        <v>2</v>
      </c>
      <c r="F4" s="117" t="s">
        <v>3</v>
      </c>
    </row>
    <row r="5" spans="1:6" s="2" customFormat="1" ht="36.75" customHeight="1">
      <c r="A5" s="103" t="s">
        <v>35</v>
      </c>
      <c r="B5" s="28">
        <f>C5+D5+E5+F5</f>
        <v>91882.4399999999</v>
      </c>
      <c r="C5" s="74">
        <f>C6+C7</f>
        <v>40461.768</v>
      </c>
      <c r="D5" s="74">
        <f>D6+D7</f>
        <v>1881.701</v>
      </c>
      <c r="E5" s="74">
        <f>E6+E7</f>
        <v>22137.873</v>
      </c>
      <c r="F5" s="75">
        <f>F6+F7</f>
        <v>27401.0979999999</v>
      </c>
    </row>
    <row r="6" spans="1:6" s="2" customFormat="1" ht="19.5" customHeight="1">
      <c r="A6" s="101" t="s">
        <v>13</v>
      </c>
      <c r="B6" s="8">
        <f aca="true" t="shared" si="0" ref="B6:B54">C6+D6+E6+F6</f>
        <v>75460.73599999989</v>
      </c>
      <c r="C6" s="8">
        <f>40461.768-C7</f>
        <v>40414.331</v>
      </c>
      <c r="D6" s="8">
        <f>1881.701-D7</f>
        <v>1880.171</v>
      </c>
      <c r="E6" s="8">
        <f>22137.873-E7</f>
        <v>21169.637</v>
      </c>
      <c r="F6" s="9">
        <f>27401.0979999999-F7</f>
        <v>11996.5969999999</v>
      </c>
    </row>
    <row r="7" spans="1:6" s="2" customFormat="1" ht="35.25" customHeight="1">
      <c r="A7" s="101" t="s">
        <v>10</v>
      </c>
      <c r="B7" s="8">
        <f t="shared" si="0"/>
        <v>16421.704</v>
      </c>
      <c r="C7" s="17">
        <f>C8+C9</f>
        <v>47.437</v>
      </c>
      <c r="D7" s="17">
        <f>D8+D9</f>
        <v>1.53</v>
      </c>
      <c r="E7" s="17">
        <f>E8+E9</f>
        <v>968.2360000000001</v>
      </c>
      <c r="F7" s="18">
        <f>F8+F9</f>
        <v>15404.501</v>
      </c>
    </row>
    <row r="8" spans="1:6" s="2" customFormat="1" ht="19.5" customHeight="1">
      <c r="A8" s="101" t="s">
        <v>11</v>
      </c>
      <c r="B8" s="8">
        <f t="shared" si="0"/>
        <v>4770.819</v>
      </c>
      <c r="C8" s="70">
        <f>16.807+9.706</f>
        <v>26.512999999999998</v>
      </c>
      <c r="D8" s="70"/>
      <c r="E8" s="70">
        <v>196.983</v>
      </c>
      <c r="F8" s="71">
        <v>4547.323</v>
      </c>
    </row>
    <row r="9" spans="1:6" s="2" customFormat="1" ht="18" customHeight="1">
      <c r="A9" s="101" t="s">
        <v>12</v>
      </c>
      <c r="B9" s="8">
        <f t="shared" si="0"/>
        <v>11650.885</v>
      </c>
      <c r="C9" s="70">
        <v>20.924</v>
      </c>
      <c r="D9" s="70">
        <v>1.53</v>
      </c>
      <c r="E9" s="70">
        <v>771.253</v>
      </c>
      <c r="F9" s="71">
        <v>10857.178</v>
      </c>
    </row>
    <row r="10" spans="1:6" s="2" customFormat="1" ht="19.5" customHeight="1">
      <c r="A10" s="104" t="s">
        <v>36</v>
      </c>
      <c r="B10" s="8">
        <f>C10+D10+E10+F10</f>
        <v>6845.269</v>
      </c>
      <c r="C10" s="17">
        <f>C11+C12</f>
        <v>1148.47</v>
      </c>
      <c r="D10" s="17"/>
      <c r="E10" s="17">
        <f>E11+E12</f>
        <v>2514.906</v>
      </c>
      <c r="F10" s="18">
        <f>F11+F12</f>
        <v>3181.893</v>
      </c>
    </row>
    <row r="11" spans="1:6" s="2" customFormat="1" ht="19.5" customHeight="1">
      <c r="A11" s="101" t="s">
        <v>13</v>
      </c>
      <c r="B11" s="8">
        <f t="shared" si="0"/>
        <v>4467.87</v>
      </c>
      <c r="C11" s="8">
        <v>1043.566</v>
      </c>
      <c r="D11" s="8"/>
      <c r="E11" s="8">
        <v>2123.049</v>
      </c>
      <c r="F11" s="9">
        <v>1301.255</v>
      </c>
    </row>
    <row r="12" spans="1:6" s="2" customFormat="1" ht="21.75" customHeight="1">
      <c r="A12" s="101" t="s">
        <v>10</v>
      </c>
      <c r="B12" s="8">
        <f t="shared" si="0"/>
        <v>2377.399</v>
      </c>
      <c r="C12" s="17">
        <f>C13+C14</f>
        <v>104.904</v>
      </c>
      <c r="D12" s="8"/>
      <c r="E12" s="17">
        <f>E13+E14</f>
        <v>391.85699999999997</v>
      </c>
      <c r="F12" s="18">
        <f>F13+F14</f>
        <v>1880.638</v>
      </c>
    </row>
    <row r="13" spans="1:6" s="2" customFormat="1" ht="21.75" customHeight="1">
      <c r="A13" s="101" t="s">
        <v>11</v>
      </c>
      <c r="B13" s="8">
        <f t="shared" si="0"/>
        <v>1317.2759999999998</v>
      </c>
      <c r="C13" s="70"/>
      <c r="D13" s="70"/>
      <c r="E13" s="70">
        <v>64.446</v>
      </c>
      <c r="F13" s="71">
        <v>1252.83</v>
      </c>
    </row>
    <row r="14" spans="1:6" s="2" customFormat="1" ht="21.75" customHeight="1">
      <c r="A14" s="101" t="s">
        <v>12</v>
      </c>
      <c r="B14" s="8">
        <f t="shared" si="0"/>
        <v>1060.123</v>
      </c>
      <c r="C14" s="70">
        <v>104.904</v>
      </c>
      <c r="D14" s="70"/>
      <c r="E14" s="70">
        <v>327.411</v>
      </c>
      <c r="F14" s="71">
        <v>627.808</v>
      </c>
    </row>
    <row r="15" spans="1:6" s="2" customFormat="1" ht="21.75" customHeight="1">
      <c r="A15" s="104" t="s">
        <v>6</v>
      </c>
      <c r="B15" s="8">
        <f t="shared" si="0"/>
        <v>1354.6580000000001</v>
      </c>
      <c r="C15" s="17">
        <f>C16+C17</f>
        <v>1354.6580000000001</v>
      </c>
      <c r="D15" s="8"/>
      <c r="E15" s="8"/>
      <c r="F15" s="9"/>
    </row>
    <row r="16" spans="1:6" s="2" customFormat="1" ht="21.75" customHeight="1">
      <c r="A16" s="101" t="s">
        <v>13</v>
      </c>
      <c r="B16" s="8">
        <f t="shared" si="0"/>
        <v>1354.499</v>
      </c>
      <c r="C16" s="8">
        <v>1354.499</v>
      </c>
      <c r="D16" s="8"/>
      <c r="E16" s="17"/>
      <c r="F16" s="18"/>
    </row>
    <row r="17" spans="1:6" s="2" customFormat="1" ht="21.75" customHeight="1">
      <c r="A17" s="101" t="s">
        <v>10</v>
      </c>
      <c r="B17" s="8">
        <f t="shared" si="0"/>
        <v>0.159</v>
      </c>
      <c r="C17" s="17">
        <f>C18+C19</f>
        <v>0.159</v>
      </c>
      <c r="D17" s="8"/>
      <c r="E17" s="17"/>
      <c r="F17" s="18"/>
    </row>
    <row r="18" spans="1:6" s="2" customFormat="1" ht="19.5" customHeight="1">
      <c r="A18" s="101" t="s">
        <v>11</v>
      </c>
      <c r="B18" s="8">
        <f t="shared" si="0"/>
        <v>0.159</v>
      </c>
      <c r="C18" s="70">
        <v>0.159</v>
      </c>
      <c r="D18" s="70"/>
      <c r="E18" s="70"/>
      <c r="F18" s="71"/>
    </row>
    <row r="19" spans="1:6" s="2" customFormat="1" ht="20.25" customHeight="1">
      <c r="A19" s="101" t="s">
        <v>12</v>
      </c>
      <c r="B19" s="8">
        <f t="shared" si="0"/>
        <v>0</v>
      </c>
      <c r="C19" s="70"/>
      <c r="D19" s="70"/>
      <c r="E19" s="70"/>
      <c r="F19" s="71"/>
    </row>
    <row r="20" spans="1:6" s="2" customFormat="1" ht="35.25" customHeight="1">
      <c r="A20" s="104" t="s">
        <v>37</v>
      </c>
      <c r="B20" s="8">
        <f t="shared" si="0"/>
        <v>938.484</v>
      </c>
      <c r="C20" s="17">
        <f>C21+C22</f>
        <v>9.814</v>
      </c>
      <c r="D20" s="17">
        <f>D21+D22</f>
        <v>828.647</v>
      </c>
      <c r="E20" s="17">
        <f>E21+E22</f>
        <v>27.854</v>
      </c>
      <c r="F20" s="18">
        <f>F21+F22</f>
        <v>72.169</v>
      </c>
    </row>
    <row r="21" spans="1:6" s="2" customFormat="1" ht="20.25" customHeight="1">
      <c r="A21" s="101" t="s">
        <v>13</v>
      </c>
      <c r="B21" s="8">
        <f t="shared" si="0"/>
        <v>919.964</v>
      </c>
      <c r="C21" s="8">
        <v>9.814</v>
      </c>
      <c r="D21" s="8">
        <v>828.647</v>
      </c>
      <c r="E21" s="8">
        <v>27.854</v>
      </c>
      <c r="F21" s="9">
        <v>53.649</v>
      </c>
    </row>
    <row r="22" spans="1:6" s="2" customFormat="1" ht="39" customHeight="1">
      <c r="A22" s="101" t="s">
        <v>10</v>
      </c>
      <c r="B22" s="8">
        <f t="shared" si="0"/>
        <v>18.52</v>
      </c>
      <c r="C22" s="8"/>
      <c r="D22" s="8"/>
      <c r="E22" s="17">
        <f>E23+E24</f>
        <v>0</v>
      </c>
      <c r="F22" s="18">
        <f>F23+F24</f>
        <v>18.52</v>
      </c>
    </row>
    <row r="23" spans="1:6" s="2" customFormat="1" ht="22.5" customHeight="1">
      <c r="A23" s="101" t="s">
        <v>11</v>
      </c>
      <c r="B23" s="8">
        <f t="shared" si="0"/>
        <v>18.52</v>
      </c>
      <c r="C23" s="70"/>
      <c r="D23" s="70"/>
      <c r="E23" s="70"/>
      <c r="F23" s="71">
        <v>18.52</v>
      </c>
    </row>
    <row r="24" spans="1:6" s="2" customFormat="1" ht="24.75" customHeight="1">
      <c r="A24" s="101" t="s">
        <v>12</v>
      </c>
      <c r="B24" s="8">
        <f t="shared" si="0"/>
        <v>0</v>
      </c>
      <c r="C24" s="70"/>
      <c r="D24" s="70"/>
      <c r="E24" s="70"/>
      <c r="F24" s="71"/>
    </row>
    <row r="25" spans="1:6" s="2" customFormat="1" ht="30.75" customHeight="1">
      <c r="A25" s="104" t="s">
        <v>7</v>
      </c>
      <c r="B25" s="8">
        <f>C25+D25+E25+F25</f>
        <v>12958.537</v>
      </c>
      <c r="C25" s="17">
        <f>C26+C27</f>
        <v>7061.459</v>
      </c>
      <c r="D25" s="17">
        <f>D26+D27</f>
        <v>0</v>
      </c>
      <c r="E25" s="17">
        <f>E26+E27</f>
        <v>2166.868</v>
      </c>
      <c r="F25" s="18">
        <f>F26+F27</f>
        <v>3730.21</v>
      </c>
    </row>
    <row r="26" spans="1:6" s="2" customFormat="1" ht="18" customHeight="1">
      <c r="A26" s="100" t="s">
        <v>48</v>
      </c>
      <c r="B26" s="8">
        <f t="shared" si="0"/>
        <v>10530.529</v>
      </c>
      <c r="C26" s="8">
        <v>7061.459</v>
      </c>
      <c r="D26" s="8"/>
      <c r="E26" s="17">
        <v>2097.587</v>
      </c>
      <c r="F26" s="18">
        <v>1371.483</v>
      </c>
    </row>
    <row r="27" spans="1:6" s="2" customFormat="1" ht="23.25" customHeight="1">
      <c r="A27" s="101" t="s">
        <v>10</v>
      </c>
      <c r="B27" s="8">
        <f t="shared" si="0"/>
        <v>2428.0080000000003</v>
      </c>
      <c r="C27" s="8"/>
      <c r="D27" s="8"/>
      <c r="E27" s="17">
        <f>E28+E29</f>
        <v>69.281</v>
      </c>
      <c r="F27" s="18">
        <f>F28+F29</f>
        <v>2358.7270000000003</v>
      </c>
    </row>
    <row r="28" spans="1:6" s="2" customFormat="1" ht="36" customHeight="1">
      <c r="A28" s="101" t="s">
        <v>11</v>
      </c>
      <c r="B28" s="8">
        <f t="shared" si="0"/>
        <v>2394.666</v>
      </c>
      <c r="C28" s="70"/>
      <c r="D28" s="70"/>
      <c r="E28" s="70">
        <v>69.281</v>
      </c>
      <c r="F28" s="71">
        <f>2209.38+116.005</f>
        <v>2325.385</v>
      </c>
    </row>
    <row r="29" spans="1:6" s="2" customFormat="1" ht="23.25" customHeight="1">
      <c r="A29" s="101" t="s">
        <v>12</v>
      </c>
      <c r="B29" s="8">
        <f t="shared" si="0"/>
        <v>33.342</v>
      </c>
      <c r="C29" s="70"/>
      <c r="D29" s="70"/>
      <c r="E29" s="70"/>
      <c r="F29" s="71">
        <v>33.342</v>
      </c>
    </row>
    <row r="30" spans="1:7" s="2" customFormat="1" ht="25.5" customHeight="1">
      <c r="A30" s="104" t="s">
        <v>38</v>
      </c>
      <c r="B30" s="8">
        <f t="shared" si="0"/>
        <v>122.814</v>
      </c>
      <c r="C30" s="17"/>
      <c r="D30" s="17"/>
      <c r="E30" s="17">
        <f>E31+E32</f>
        <v>74.94</v>
      </c>
      <c r="F30" s="18">
        <f>F31+F32</f>
        <v>47.874</v>
      </c>
      <c r="G30" s="6"/>
    </row>
    <row r="31" spans="1:6" s="2" customFormat="1" ht="19.5" customHeight="1">
      <c r="A31" s="101" t="s">
        <v>13</v>
      </c>
      <c r="B31" s="8">
        <f t="shared" si="0"/>
        <v>94.697</v>
      </c>
      <c r="C31" s="8"/>
      <c r="D31" s="8"/>
      <c r="E31" s="17">
        <v>74.94</v>
      </c>
      <c r="F31" s="18">
        <v>19.757</v>
      </c>
    </row>
    <row r="32" spans="1:6" s="2" customFormat="1" ht="19.5" customHeight="1">
      <c r="A32" s="101" t="s">
        <v>10</v>
      </c>
      <c r="B32" s="8">
        <f t="shared" si="0"/>
        <v>28.117</v>
      </c>
      <c r="C32" s="8"/>
      <c r="D32" s="8"/>
      <c r="E32" s="17">
        <f>E33+E34</f>
        <v>0</v>
      </c>
      <c r="F32" s="18">
        <f>F33+F34</f>
        <v>28.117</v>
      </c>
    </row>
    <row r="33" spans="1:6" s="2" customFormat="1" ht="19.5" customHeight="1">
      <c r="A33" s="101" t="s">
        <v>11</v>
      </c>
      <c r="B33" s="8">
        <f t="shared" si="0"/>
        <v>23.599</v>
      </c>
      <c r="C33" s="70"/>
      <c r="D33" s="70"/>
      <c r="E33" s="70"/>
      <c r="F33" s="71">
        <v>23.599</v>
      </c>
    </row>
    <row r="34" spans="1:6" s="2" customFormat="1" ht="19.5" customHeight="1">
      <c r="A34" s="101" t="s">
        <v>12</v>
      </c>
      <c r="B34" s="8">
        <f t="shared" si="0"/>
        <v>4.518</v>
      </c>
      <c r="C34" s="70"/>
      <c r="D34" s="70"/>
      <c r="E34" s="70"/>
      <c r="F34" s="71">
        <v>4.518</v>
      </c>
    </row>
    <row r="35" spans="1:6" s="2" customFormat="1" ht="24.75" customHeight="1">
      <c r="A35" s="104" t="s">
        <v>39</v>
      </c>
      <c r="B35" s="8">
        <f t="shared" si="0"/>
        <v>203.891</v>
      </c>
      <c r="C35" s="17">
        <f>C36+C37</f>
        <v>0</v>
      </c>
      <c r="D35" s="72"/>
      <c r="E35" s="17">
        <f>E36+E37</f>
        <v>0</v>
      </c>
      <c r="F35" s="18">
        <f>F36+F37</f>
        <v>203.891</v>
      </c>
    </row>
    <row r="36" spans="1:6" s="2" customFormat="1" ht="24.75" customHeight="1">
      <c r="A36" s="101" t="s">
        <v>13</v>
      </c>
      <c r="B36" s="8">
        <f t="shared" si="0"/>
        <v>192.409</v>
      </c>
      <c r="C36" s="8"/>
      <c r="D36" s="8"/>
      <c r="E36" s="8"/>
      <c r="F36" s="9">
        <v>192.409</v>
      </c>
    </row>
    <row r="37" spans="1:6" s="2" customFormat="1" ht="24.75" customHeight="1">
      <c r="A37" s="101" t="s">
        <v>10</v>
      </c>
      <c r="B37" s="8">
        <f t="shared" si="0"/>
        <v>11.482</v>
      </c>
      <c r="C37" s="17">
        <f>C38+C39</f>
        <v>0</v>
      </c>
      <c r="D37" s="8"/>
      <c r="E37" s="17"/>
      <c r="F37" s="18">
        <f>F38+F39</f>
        <v>11.482</v>
      </c>
    </row>
    <row r="38" spans="1:6" s="2" customFormat="1" ht="24.75" customHeight="1">
      <c r="A38" s="101" t="s">
        <v>11</v>
      </c>
      <c r="B38" s="8">
        <f t="shared" si="0"/>
        <v>0</v>
      </c>
      <c r="C38" s="72"/>
      <c r="D38" s="72"/>
      <c r="E38" s="72"/>
      <c r="F38" s="12"/>
    </row>
    <row r="39" spans="1:6" s="2" customFormat="1" ht="24.75" customHeight="1">
      <c r="A39" s="101" t="s">
        <v>12</v>
      </c>
      <c r="B39" s="8">
        <f t="shared" si="0"/>
        <v>11.482</v>
      </c>
      <c r="C39" s="72"/>
      <c r="D39" s="72"/>
      <c r="E39" s="72"/>
      <c r="F39" s="18">
        <v>11.482</v>
      </c>
    </row>
    <row r="40" spans="1:6" s="2" customFormat="1" ht="24.75" customHeight="1">
      <c r="A40" s="104" t="s">
        <v>24</v>
      </c>
      <c r="B40" s="8">
        <f t="shared" si="0"/>
        <v>140.639</v>
      </c>
      <c r="C40" s="17">
        <f>C41+C42</f>
        <v>16.561</v>
      </c>
      <c r="D40" s="72"/>
      <c r="E40" s="17">
        <f>E41+E42</f>
        <v>124.078</v>
      </c>
      <c r="F40" s="18"/>
    </row>
    <row r="41" spans="1:6" s="2" customFormat="1" ht="24.75" customHeight="1">
      <c r="A41" s="101" t="s">
        <v>13</v>
      </c>
      <c r="B41" s="8">
        <f t="shared" si="0"/>
        <v>140.639</v>
      </c>
      <c r="C41" s="8">
        <v>16.561</v>
      </c>
      <c r="D41" s="8"/>
      <c r="E41" s="8">
        <v>124.078</v>
      </c>
      <c r="F41" s="9"/>
    </row>
    <row r="42" spans="1:6" s="2" customFormat="1" ht="24.75" customHeight="1">
      <c r="A42" s="101" t="s">
        <v>10</v>
      </c>
      <c r="B42" s="8">
        <f t="shared" si="0"/>
        <v>0</v>
      </c>
      <c r="C42" s="17">
        <f>C43+C44</f>
        <v>0</v>
      </c>
      <c r="D42" s="8"/>
      <c r="E42" s="17">
        <f>E43+E44</f>
        <v>0</v>
      </c>
      <c r="F42" s="18">
        <f>F43+F44</f>
        <v>0</v>
      </c>
    </row>
    <row r="43" spans="1:6" s="2" customFormat="1" ht="24.75" customHeight="1">
      <c r="A43" s="101" t="s">
        <v>11</v>
      </c>
      <c r="B43" s="8">
        <f t="shared" si="0"/>
        <v>0</v>
      </c>
      <c r="C43" s="72"/>
      <c r="D43" s="72"/>
      <c r="E43" s="72"/>
      <c r="F43" s="12"/>
    </row>
    <row r="44" spans="1:6" s="2" customFormat="1" ht="24.75" customHeight="1">
      <c r="A44" s="101" t="s">
        <v>12</v>
      </c>
      <c r="B44" s="8">
        <f t="shared" si="0"/>
        <v>0</v>
      </c>
      <c r="C44" s="72"/>
      <c r="D44" s="72"/>
      <c r="E44" s="72"/>
      <c r="F44" s="12"/>
    </row>
    <row r="45" spans="1:6" s="2" customFormat="1" ht="50.25" customHeight="1">
      <c r="A45" s="81" t="s">
        <v>26</v>
      </c>
      <c r="B45" s="8">
        <f t="shared" si="0"/>
        <v>489.869</v>
      </c>
      <c r="C45" s="10"/>
      <c r="D45" s="8"/>
      <c r="E45" s="8">
        <f>E46+E47</f>
        <v>346.805</v>
      </c>
      <c r="F45" s="9">
        <f>F46+F47</f>
        <v>143.064</v>
      </c>
    </row>
    <row r="46" spans="1:6" s="2" customFormat="1" ht="26.25" customHeight="1">
      <c r="A46" s="101" t="s">
        <v>13</v>
      </c>
      <c r="B46" s="8">
        <f t="shared" si="0"/>
        <v>489.869</v>
      </c>
      <c r="C46" s="8"/>
      <c r="D46" s="8"/>
      <c r="E46" s="17">
        <v>346.805</v>
      </c>
      <c r="F46" s="18">
        <v>143.064</v>
      </c>
    </row>
    <row r="47" spans="1:6" s="2" customFormat="1" ht="26.25" customHeight="1">
      <c r="A47" s="101" t="s">
        <v>10</v>
      </c>
      <c r="B47" s="8">
        <v>0</v>
      </c>
      <c r="C47" s="8"/>
      <c r="D47" s="8"/>
      <c r="E47" s="17">
        <v>0</v>
      </c>
      <c r="F47" s="18">
        <v>0</v>
      </c>
    </row>
    <row r="48" spans="1:6" s="2" customFormat="1" ht="45" customHeight="1">
      <c r="A48" s="101" t="s">
        <v>11</v>
      </c>
      <c r="B48" s="8">
        <f t="shared" si="0"/>
        <v>0</v>
      </c>
      <c r="C48" s="8"/>
      <c r="D48" s="8"/>
      <c r="E48" s="17">
        <f>E49+E50</f>
        <v>0</v>
      </c>
      <c r="F48" s="18">
        <f>F49+F50</f>
        <v>0</v>
      </c>
    </row>
    <row r="49" spans="1:6" s="2" customFormat="1" ht="26.25" customHeight="1">
      <c r="A49" s="101" t="s">
        <v>12</v>
      </c>
      <c r="B49" s="8">
        <f t="shared" si="0"/>
        <v>0</v>
      </c>
      <c r="C49" s="10"/>
      <c r="D49" s="8"/>
      <c r="E49" s="10"/>
      <c r="F49" s="14"/>
    </row>
    <row r="50" spans="1:6" s="2" customFormat="1" ht="24.75" customHeight="1">
      <c r="A50" s="81" t="s">
        <v>4</v>
      </c>
      <c r="B50" s="8">
        <f t="shared" si="0"/>
        <v>817.846</v>
      </c>
      <c r="C50" s="17">
        <f>C51+C52</f>
        <v>817.846</v>
      </c>
      <c r="D50" s="8"/>
      <c r="E50" s="10"/>
      <c r="F50" s="14"/>
    </row>
    <row r="51" spans="1:6" s="2" customFormat="1" ht="21.75" customHeight="1">
      <c r="A51" s="101" t="s">
        <v>13</v>
      </c>
      <c r="B51" s="8">
        <f t="shared" si="0"/>
        <v>817.846</v>
      </c>
      <c r="C51" s="17">
        <f>817.846</f>
        <v>817.846</v>
      </c>
      <c r="D51" s="8"/>
      <c r="E51" s="8"/>
      <c r="F51" s="9"/>
    </row>
    <row r="52" spans="1:6" s="2" customFormat="1" ht="19.5" customHeight="1">
      <c r="A52" s="101" t="s">
        <v>10</v>
      </c>
      <c r="B52" s="8">
        <f t="shared" si="0"/>
        <v>0</v>
      </c>
      <c r="C52" s="17"/>
      <c r="D52" s="8"/>
      <c r="E52" s="17"/>
      <c r="F52" s="18"/>
    </row>
    <row r="53" spans="1:6" s="2" customFormat="1" ht="19.5" customHeight="1">
      <c r="A53" s="101" t="s">
        <v>11</v>
      </c>
      <c r="B53" s="8">
        <f t="shared" si="0"/>
        <v>0</v>
      </c>
      <c r="C53" s="70"/>
      <c r="D53" s="8"/>
      <c r="E53" s="8"/>
      <c r="F53" s="9"/>
    </row>
    <row r="54" spans="1:7" s="46" customFormat="1" ht="24.75" customHeight="1">
      <c r="A54" s="101" t="s">
        <v>12</v>
      </c>
      <c r="B54" s="8">
        <f t="shared" si="0"/>
        <v>0</v>
      </c>
      <c r="C54" s="70"/>
      <c r="D54" s="8"/>
      <c r="E54" s="8"/>
      <c r="F54" s="9"/>
      <c r="G54" s="45"/>
    </row>
    <row r="55" spans="1:6" s="46" customFormat="1" ht="50.25" customHeight="1">
      <c r="A55" s="104" t="s">
        <v>40</v>
      </c>
      <c r="B55" s="8">
        <f>C55+D55+E55+F55</f>
        <v>2020.121</v>
      </c>
      <c r="C55" s="8">
        <f>C56+C57</f>
        <v>1168.756</v>
      </c>
      <c r="D55" s="8">
        <f>D56+D57</f>
        <v>0</v>
      </c>
      <c r="E55" s="8">
        <f>E56+E57</f>
        <v>431.202</v>
      </c>
      <c r="F55" s="9">
        <f>F56+F57</f>
        <v>420.163</v>
      </c>
    </row>
    <row r="56" spans="1:7" s="46" customFormat="1" ht="26.25" customHeight="1">
      <c r="A56" s="101" t="s">
        <v>13</v>
      </c>
      <c r="B56" s="8">
        <f>F56+E56+D56+C56</f>
        <v>1725.0190000000002</v>
      </c>
      <c r="C56" s="17">
        <v>1168.756</v>
      </c>
      <c r="D56" s="17"/>
      <c r="E56" s="17">
        <v>431.202</v>
      </c>
      <c r="F56" s="18">
        <v>125.061</v>
      </c>
      <c r="G56" s="45"/>
    </row>
    <row r="57" spans="1:6" s="6" customFormat="1" ht="27.75" customHeight="1">
      <c r="A57" s="101" t="s">
        <v>10</v>
      </c>
      <c r="B57" s="8">
        <f aca="true" t="shared" si="1" ref="B57:B109">C57+D57+E57+F57</f>
        <v>295.102</v>
      </c>
      <c r="C57" s="70"/>
      <c r="D57" s="8"/>
      <c r="E57" s="8">
        <f>E59+E58</f>
        <v>0</v>
      </c>
      <c r="F57" s="9">
        <f>F59+F58</f>
        <v>295.102</v>
      </c>
    </row>
    <row r="58" spans="1:6" s="3" customFormat="1" ht="25.5" customHeight="1">
      <c r="A58" s="101" t="s">
        <v>11</v>
      </c>
      <c r="B58" s="8">
        <f t="shared" si="1"/>
        <v>267.56</v>
      </c>
      <c r="C58" s="70"/>
      <c r="D58" s="8"/>
      <c r="E58" s="8"/>
      <c r="F58" s="9">
        <v>267.56</v>
      </c>
    </row>
    <row r="59" spans="1:7" s="3" customFormat="1" ht="25.5" customHeight="1">
      <c r="A59" s="101" t="s">
        <v>12</v>
      </c>
      <c r="B59" s="8">
        <f t="shared" si="1"/>
        <v>27.542</v>
      </c>
      <c r="C59" s="70"/>
      <c r="D59" s="8"/>
      <c r="E59" s="8"/>
      <c r="F59" s="9">
        <v>27.542</v>
      </c>
      <c r="G59" s="30"/>
    </row>
    <row r="60" spans="1:6" s="6" customFormat="1" ht="31.5" customHeight="1">
      <c r="A60" s="104" t="s">
        <v>25</v>
      </c>
      <c r="B60" s="8">
        <f t="shared" si="1"/>
        <v>2289.069</v>
      </c>
      <c r="C60" s="8">
        <f>C61+C62</f>
        <v>2272.667</v>
      </c>
      <c r="D60" s="8"/>
      <c r="E60" s="8">
        <f>E61+E62</f>
        <v>0</v>
      </c>
      <c r="F60" s="9">
        <f>F61+F62</f>
        <v>16.402</v>
      </c>
    </row>
    <row r="61" spans="1:6" s="3" customFormat="1" ht="26.25" customHeight="1">
      <c r="A61" s="101" t="s">
        <v>13</v>
      </c>
      <c r="B61" s="8">
        <f t="shared" si="1"/>
        <v>2289.069</v>
      </c>
      <c r="C61" s="17">
        <v>2272.667</v>
      </c>
      <c r="D61" s="17"/>
      <c r="E61" s="17"/>
      <c r="F61" s="18">
        <v>16.402</v>
      </c>
    </row>
    <row r="62" spans="1:7" s="3" customFormat="1" ht="18.75">
      <c r="A62" s="101" t="s">
        <v>10</v>
      </c>
      <c r="B62" s="8">
        <f t="shared" si="1"/>
        <v>0</v>
      </c>
      <c r="C62" s="70"/>
      <c r="D62" s="8"/>
      <c r="E62" s="8">
        <f>E64+E63</f>
        <v>0</v>
      </c>
      <c r="F62" s="9">
        <f>F64+F63</f>
        <v>0</v>
      </c>
      <c r="G62" s="34"/>
    </row>
    <row r="63" spans="1:7" ht="18.75">
      <c r="A63" s="101" t="s">
        <v>11</v>
      </c>
      <c r="B63" s="8">
        <f t="shared" si="1"/>
        <v>0</v>
      </c>
      <c r="C63" s="70"/>
      <c r="D63" s="8"/>
      <c r="E63" s="10"/>
      <c r="F63" s="14"/>
      <c r="G63" s="3"/>
    </row>
    <row r="64" spans="1:7" ht="18.75">
      <c r="A64" s="101" t="s">
        <v>12</v>
      </c>
      <c r="B64" s="8">
        <f t="shared" si="1"/>
        <v>0</v>
      </c>
      <c r="C64" s="70"/>
      <c r="D64" s="8"/>
      <c r="E64" s="10"/>
      <c r="F64" s="14"/>
      <c r="G64" s="3"/>
    </row>
    <row r="65" spans="1:7" ht="18">
      <c r="A65" s="104" t="s">
        <v>41</v>
      </c>
      <c r="B65" s="8">
        <f t="shared" si="1"/>
        <v>37.442</v>
      </c>
      <c r="C65" s="8">
        <f>C66+C67</f>
        <v>0</v>
      </c>
      <c r="D65" s="8"/>
      <c r="E65" s="8">
        <f>E66+E67</f>
        <v>37.442</v>
      </c>
      <c r="F65" s="9">
        <f>F66+F67</f>
        <v>0</v>
      </c>
      <c r="G65" s="3"/>
    </row>
    <row r="66" spans="1:7" ht="18.75">
      <c r="A66" s="101" t="s">
        <v>13</v>
      </c>
      <c r="B66" s="8">
        <f t="shared" si="1"/>
        <v>37.442</v>
      </c>
      <c r="C66" s="82"/>
      <c r="D66" s="82"/>
      <c r="E66" s="82">
        <v>37.442</v>
      </c>
      <c r="F66" s="83"/>
      <c r="G66" s="3"/>
    </row>
    <row r="67" spans="1:7" ht="18.75">
      <c r="A67" s="101" t="s">
        <v>10</v>
      </c>
      <c r="B67" s="8">
        <f t="shared" si="1"/>
        <v>0</v>
      </c>
      <c r="C67" s="70"/>
      <c r="D67" s="8"/>
      <c r="E67" s="8">
        <f>E69+E68</f>
        <v>0</v>
      </c>
      <c r="F67" s="9">
        <f>F69+F68</f>
        <v>0</v>
      </c>
      <c r="G67" s="3"/>
    </row>
    <row r="68" spans="1:7" ht="18.75">
      <c r="A68" s="101" t="s">
        <v>11</v>
      </c>
      <c r="B68" s="8">
        <f t="shared" si="1"/>
        <v>0</v>
      </c>
      <c r="C68" s="70"/>
      <c r="D68" s="8"/>
      <c r="E68" s="10"/>
      <c r="F68" s="14"/>
      <c r="G68" s="3"/>
    </row>
    <row r="69" spans="1:7" ht="18.75">
      <c r="A69" s="101" t="s">
        <v>12</v>
      </c>
      <c r="B69" s="8">
        <f t="shared" si="1"/>
        <v>0</v>
      </c>
      <c r="C69" s="70"/>
      <c r="D69" s="8"/>
      <c r="E69" s="10"/>
      <c r="F69" s="14"/>
      <c r="G69" s="3"/>
    </row>
    <row r="70" spans="1:7" ht="36">
      <c r="A70" s="104" t="s">
        <v>23</v>
      </c>
      <c r="B70" s="8">
        <f t="shared" si="1"/>
        <v>87.169</v>
      </c>
      <c r="C70" s="70"/>
      <c r="D70" s="8"/>
      <c r="E70" s="8">
        <f>E71+E72</f>
        <v>0</v>
      </c>
      <c r="F70" s="9">
        <f>F71+F72</f>
        <v>87.169</v>
      </c>
      <c r="G70" s="3"/>
    </row>
    <row r="71" spans="1:7" ht="18.75">
      <c r="A71" s="101" t="s">
        <v>13</v>
      </c>
      <c r="B71" s="8">
        <f t="shared" si="1"/>
        <v>12.443</v>
      </c>
      <c r="C71" s="70"/>
      <c r="D71" s="8"/>
      <c r="E71" s="8"/>
      <c r="F71" s="84">
        <v>12.443</v>
      </c>
      <c r="G71" s="3"/>
    </row>
    <row r="72" spans="1:7" ht="18.75">
      <c r="A72" s="101" t="s">
        <v>10</v>
      </c>
      <c r="B72" s="8">
        <f t="shared" si="1"/>
        <v>74.726</v>
      </c>
      <c r="C72" s="70"/>
      <c r="D72" s="8"/>
      <c r="E72" s="8">
        <f>E74+E73</f>
        <v>0</v>
      </c>
      <c r="F72" s="9">
        <f>F74+F73</f>
        <v>74.726</v>
      </c>
      <c r="G72" s="3"/>
    </row>
    <row r="73" spans="1:7" ht="18.75">
      <c r="A73" s="101" t="s">
        <v>11</v>
      </c>
      <c r="B73" s="8">
        <f t="shared" si="1"/>
        <v>74.726</v>
      </c>
      <c r="C73" s="70"/>
      <c r="D73" s="8"/>
      <c r="E73" s="10"/>
      <c r="F73" s="14">
        <v>74.726</v>
      </c>
      <c r="G73" s="3"/>
    </row>
    <row r="74" spans="1:7" ht="18.75">
      <c r="A74" s="101" t="s">
        <v>12</v>
      </c>
      <c r="B74" s="8">
        <f t="shared" si="1"/>
        <v>0</v>
      </c>
      <c r="C74" s="70"/>
      <c r="D74" s="8"/>
      <c r="E74" s="10"/>
      <c r="F74" s="14"/>
      <c r="G74" s="3"/>
    </row>
    <row r="75" spans="1:7" ht="36">
      <c r="A75" s="104" t="s">
        <v>42</v>
      </c>
      <c r="B75" s="8">
        <f t="shared" si="1"/>
        <v>235.35000000000002</v>
      </c>
      <c r="C75" s="70"/>
      <c r="D75" s="8"/>
      <c r="E75" s="8">
        <f>E76+E77</f>
        <v>17.11</v>
      </c>
      <c r="F75" s="9">
        <f>F76+F77</f>
        <v>218.24</v>
      </c>
      <c r="G75" s="3"/>
    </row>
    <row r="76" spans="1:7" ht="18.75">
      <c r="A76" s="101" t="s">
        <v>13</v>
      </c>
      <c r="B76" s="8">
        <f t="shared" si="1"/>
        <v>66.131</v>
      </c>
      <c r="C76" s="70"/>
      <c r="D76" s="8"/>
      <c r="E76" s="17">
        <v>17.11</v>
      </c>
      <c r="F76" s="18">
        <v>49.021</v>
      </c>
      <c r="G76" s="3"/>
    </row>
    <row r="77" spans="1:7" ht="18.75">
      <c r="A77" s="101" t="s">
        <v>10</v>
      </c>
      <c r="B77" s="8">
        <f t="shared" si="1"/>
        <v>169.219</v>
      </c>
      <c r="C77" s="70"/>
      <c r="D77" s="8"/>
      <c r="E77" s="8">
        <f>E79+E78</f>
        <v>0</v>
      </c>
      <c r="F77" s="9">
        <f>F79+F78</f>
        <v>169.219</v>
      </c>
      <c r="G77" s="3"/>
    </row>
    <row r="78" spans="1:7" ht="18.75">
      <c r="A78" s="101" t="s">
        <v>11</v>
      </c>
      <c r="B78" s="8">
        <f t="shared" si="1"/>
        <v>0</v>
      </c>
      <c r="C78" s="70"/>
      <c r="D78" s="8"/>
      <c r="E78" s="8"/>
      <c r="F78" s="9"/>
      <c r="G78" s="3"/>
    </row>
    <row r="79" spans="1:7" ht="18.75">
      <c r="A79" s="101" t="s">
        <v>12</v>
      </c>
      <c r="B79" s="8">
        <f t="shared" si="1"/>
        <v>169.219</v>
      </c>
      <c r="C79" s="70"/>
      <c r="D79" s="8"/>
      <c r="E79" s="8"/>
      <c r="F79" s="9">
        <v>169.219</v>
      </c>
      <c r="G79" s="3"/>
    </row>
    <row r="80" spans="1:7" ht="18">
      <c r="A80" s="104" t="s">
        <v>21</v>
      </c>
      <c r="B80" s="8">
        <f t="shared" si="1"/>
        <v>507.41</v>
      </c>
      <c r="C80" s="8">
        <f>C81+C82</f>
        <v>0</v>
      </c>
      <c r="D80" s="8"/>
      <c r="E80" s="8">
        <f>E81+E82</f>
        <v>507.41</v>
      </c>
      <c r="F80" s="9">
        <f>F81+F82</f>
        <v>0</v>
      </c>
      <c r="G80" s="3"/>
    </row>
    <row r="81" spans="1:7" ht="18.75">
      <c r="A81" s="101" t="s">
        <v>13</v>
      </c>
      <c r="B81" s="8">
        <f t="shared" si="1"/>
        <v>507.41</v>
      </c>
      <c r="C81" s="82"/>
      <c r="D81" s="82"/>
      <c r="E81" s="82">
        <v>507.41</v>
      </c>
      <c r="F81" s="83"/>
      <c r="G81" s="3"/>
    </row>
    <row r="82" spans="1:7" ht="18.75">
      <c r="A82" s="101" t="s">
        <v>10</v>
      </c>
      <c r="B82" s="8">
        <f t="shared" si="1"/>
        <v>0</v>
      </c>
      <c r="C82" s="70"/>
      <c r="D82" s="8"/>
      <c r="E82" s="8">
        <f>E84+E83</f>
        <v>0</v>
      </c>
      <c r="F82" s="9">
        <f>F84+F83</f>
        <v>0</v>
      </c>
      <c r="G82" s="3"/>
    </row>
    <row r="83" spans="1:7" ht="18.75">
      <c r="A83" s="101" t="s">
        <v>11</v>
      </c>
      <c r="B83" s="8">
        <f t="shared" si="1"/>
        <v>0</v>
      </c>
      <c r="C83" s="70"/>
      <c r="D83" s="8"/>
      <c r="E83" s="10"/>
      <c r="F83" s="14"/>
      <c r="G83" s="3"/>
    </row>
    <row r="84" spans="1:7" ht="18.75">
      <c r="A84" s="101" t="s">
        <v>12</v>
      </c>
      <c r="B84" s="8">
        <f t="shared" si="1"/>
        <v>0</v>
      </c>
      <c r="C84" s="70"/>
      <c r="D84" s="8"/>
      <c r="E84" s="10"/>
      <c r="F84" s="14"/>
      <c r="G84" s="3"/>
    </row>
    <row r="85" spans="1:7" ht="18">
      <c r="A85" s="104" t="s">
        <v>22</v>
      </c>
      <c r="B85" s="8">
        <f t="shared" si="1"/>
        <v>640.846</v>
      </c>
      <c r="C85" s="70"/>
      <c r="D85" s="8"/>
      <c r="E85" s="8">
        <f>E86+E87</f>
        <v>640.846</v>
      </c>
      <c r="F85" s="9">
        <f>F86+F87</f>
        <v>0</v>
      </c>
      <c r="G85" s="3"/>
    </row>
    <row r="86" spans="1:7" ht="18.75">
      <c r="A86" s="101" t="s">
        <v>13</v>
      </c>
      <c r="B86" s="8">
        <f t="shared" si="1"/>
        <v>640.846</v>
      </c>
      <c r="C86" s="70"/>
      <c r="D86" s="8"/>
      <c r="E86" s="8">
        <v>640.846</v>
      </c>
      <c r="F86" s="84"/>
      <c r="G86" s="3"/>
    </row>
    <row r="87" spans="1:7" ht="18.75">
      <c r="A87" s="101" t="s">
        <v>10</v>
      </c>
      <c r="B87" s="8">
        <f t="shared" si="1"/>
        <v>0</v>
      </c>
      <c r="C87" s="70"/>
      <c r="D87" s="8"/>
      <c r="E87" s="8">
        <f>E89+E88</f>
        <v>0</v>
      </c>
      <c r="F87" s="9">
        <f>F89+F88</f>
        <v>0</v>
      </c>
      <c r="G87" s="3"/>
    </row>
    <row r="88" spans="1:7" ht="18.75">
      <c r="A88" s="101" t="s">
        <v>11</v>
      </c>
      <c r="B88" s="8">
        <f t="shared" si="1"/>
        <v>0</v>
      </c>
      <c r="C88" s="70"/>
      <c r="D88" s="8"/>
      <c r="E88" s="10"/>
      <c r="F88" s="14"/>
      <c r="G88" s="3"/>
    </row>
    <row r="89" spans="1:7" ht="18.75">
      <c r="A89" s="101" t="s">
        <v>12</v>
      </c>
      <c r="B89" s="8">
        <f t="shared" si="1"/>
        <v>0</v>
      </c>
      <c r="C89" s="70"/>
      <c r="D89" s="8"/>
      <c r="E89" s="10"/>
      <c r="F89" s="14"/>
      <c r="G89" s="3"/>
    </row>
    <row r="90" spans="1:7" ht="18">
      <c r="A90" s="104" t="s">
        <v>49</v>
      </c>
      <c r="B90" s="8">
        <f t="shared" si="1"/>
        <v>0</v>
      </c>
      <c r="C90" s="70"/>
      <c r="D90" s="8"/>
      <c r="E90" s="8">
        <f>E91+E92</f>
        <v>0</v>
      </c>
      <c r="F90" s="9">
        <f>F91+F92</f>
        <v>0</v>
      </c>
      <c r="G90" s="3"/>
    </row>
    <row r="91" spans="1:7" ht="18.75">
      <c r="A91" s="101" t="s">
        <v>13</v>
      </c>
      <c r="B91" s="8">
        <f t="shared" si="1"/>
        <v>0</v>
      </c>
      <c r="C91" s="70"/>
      <c r="D91" s="8"/>
      <c r="E91" s="8"/>
      <c r="F91" s="84"/>
      <c r="G91" s="3"/>
    </row>
    <row r="92" spans="1:7" ht="18.75">
      <c r="A92" s="101" t="s">
        <v>10</v>
      </c>
      <c r="B92" s="8">
        <f t="shared" si="1"/>
        <v>0</v>
      </c>
      <c r="C92" s="70"/>
      <c r="D92" s="8"/>
      <c r="E92" s="8">
        <f>E94+E93</f>
        <v>0</v>
      </c>
      <c r="F92" s="9">
        <f>F94+F93</f>
        <v>0</v>
      </c>
      <c r="G92" s="3"/>
    </row>
    <row r="93" spans="1:7" ht="18.75">
      <c r="A93" s="101" t="s">
        <v>11</v>
      </c>
      <c r="B93" s="8">
        <f t="shared" si="1"/>
        <v>0</v>
      </c>
      <c r="C93" s="70"/>
      <c r="D93" s="8"/>
      <c r="E93" s="8"/>
      <c r="F93" s="9"/>
      <c r="G93" s="3"/>
    </row>
    <row r="94" spans="1:7" ht="18.75">
      <c r="A94" s="101" t="s">
        <v>12</v>
      </c>
      <c r="B94" s="8">
        <f t="shared" si="1"/>
        <v>0</v>
      </c>
      <c r="C94" s="70"/>
      <c r="D94" s="8"/>
      <c r="E94" s="8"/>
      <c r="F94" s="9"/>
      <c r="G94" s="3"/>
    </row>
    <row r="95" spans="1:7" ht="18">
      <c r="A95" s="104" t="s">
        <v>8</v>
      </c>
      <c r="B95" s="8">
        <f t="shared" si="1"/>
        <v>1760.033</v>
      </c>
      <c r="C95" s="17"/>
      <c r="D95" s="8"/>
      <c r="E95" s="17">
        <f>E96+E97</f>
        <v>890.6709999999999</v>
      </c>
      <c r="F95" s="18">
        <f>F96+F97</f>
        <v>869.3619999999999</v>
      </c>
      <c r="G95" s="3"/>
    </row>
    <row r="96" spans="1:7" ht="18.75">
      <c r="A96" s="101" t="s">
        <v>13</v>
      </c>
      <c r="B96" s="8">
        <f t="shared" si="1"/>
        <v>959.221</v>
      </c>
      <c r="C96" s="8"/>
      <c r="D96" s="8"/>
      <c r="E96" s="17">
        <v>696.949</v>
      </c>
      <c r="F96" s="18">
        <v>262.272</v>
      </c>
      <c r="G96" s="3"/>
    </row>
    <row r="97" spans="1:7" ht="18.75">
      <c r="A97" s="101" t="s">
        <v>10</v>
      </c>
      <c r="B97" s="8">
        <f t="shared" si="1"/>
        <v>800.8119999999999</v>
      </c>
      <c r="C97" s="8"/>
      <c r="D97" s="8"/>
      <c r="E97" s="8">
        <f>E99+E98</f>
        <v>193.722</v>
      </c>
      <c r="F97" s="9">
        <f>F99+F98</f>
        <v>607.0899999999999</v>
      </c>
      <c r="G97" s="3"/>
    </row>
    <row r="98" spans="1:7" ht="18.75">
      <c r="A98" s="101" t="s">
        <v>11</v>
      </c>
      <c r="B98" s="8">
        <f t="shared" si="1"/>
        <v>661.8149999999999</v>
      </c>
      <c r="C98" s="8"/>
      <c r="D98" s="8"/>
      <c r="E98" s="70">
        <f>182.324+8.72</f>
        <v>191.044</v>
      </c>
      <c r="F98" s="71">
        <f>423.051+47.72</f>
        <v>470.77099999999996</v>
      </c>
      <c r="G98" s="3"/>
    </row>
    <row r="99" spans="1:7" ht="18.75">
      <c r="A99" s="101" t="s">
        <v>12</v>
      </c>
      <c r="B99" s="8">
        <f t="shared" si="1"/>
        <v>138.99699999999999</v>
      </c>
      <c r="C99" s="70"/>
      <c r="D99" s="70"/>
      <c r="E99" s="70">
        <v>2.678</v>
      </c>
      <c r="F99" s="71">
        <v>136.319</v>
      </c>
      <c r="G99" s="3"/>
    </row>
    <row r="100" spans="1:7" ht="18">
      <c r="A100" s="104" t="s">
        <v>5</v>
      </c>
      <c r="B100" s="8">
        <f t="shared" si="1"/>
        <v>3437.205</v>
      </c>
      <c r="C100" s="8">
        <f>C101+C102</f>
        <v>381.503</v>
      </c>
      <c r="D100" s="8">
        <f>D101+D102</f>
        <v>0</v>
      </c>
      <c r="E100" s="8">
        <f>E101+E102</f>
        <v>2100.941</v>
      </c>
      <c r="F100" s="9">
        <f>F101+F102</f>
        <v>954.7610000000001</v>
      </c>
      <c r="G100" s="3"/>
    </row>
    <row r="101" spans="1:7" ht="18.75">
      <c r="A101" s="101" t="s">
        <v>13</v>
      </c>
      <c r="B101" s="8">
        <f t="shared" si="1"/>
        <v>2302.216</v>
      </c>
      <c r="C101" s="17">
        <v>381.503</v>
      </c>
      <c r="D101" s="8"/>
      <c r="E101" s="17">
        <v>1555.536</v>
      </c>
      <c r="F101" s="18">
        <v>365.177</v>
      </c>
      <c r="G101" s="3"/>
    </row>
    <row r="102" spans="1:7" ht="18.75">
      <c r="A102" s="101" t="s">
        <v>10</v>
      </c>
      <c r="B102" s="8">
        <f t="shared" si="1"/>
        <v>1134.989</v>
      </c>
      <c r="C102" s="8"/>
      <c r="D102" s="8"/>
      <c r="E102" s="8">
        <f>E104+E103</f>
        <v>545.405</v>
      </c>
      <c r="F102" s="9">
        <f>F104+F103</f>
        <v>589.5840000000001</v>
      </c>
      <c r="G102" s="3"/>
    </row>
    <row r="103" spans="1:7" ht="18.75">
      <c r="A103" s="101" t="s">
        <v>11</v>
      </c>
      <c r="B103" s="8">
        <f t="shared" si="1"/>
        <v>1125.429</v>
      </c>
      <c r="C103" s="70"/>
      <c r="D103" s="70"/>
      <c r="E103" s="70">
        <f>455.292+80.553</f>
        <v>535.845</v>
      </c>
      <c r="F103" s="71">
        <f>508.225+81.359</f>
        <v>589.5840000000001</v>
      </c>
      <c r="G103" s="3"/>
    </row>
    <row r="104" spans="1:7" ht="18.75">
      <c r="A104" s="101" t="s">
        <v>12</v>
      </c>
      <c r="B104" s="8">
        <f t="shared" si="1"/>
        <v>9.56</v>
      </c>
      <c r="C104" s="70"/>
      <c r="D104" s="70"/>
      <c r="E104" s="70">
        <v>9.56</v>
      </c>
      <c r="F104" s="12"/>
      <c r="G104" s="3"/>
    </row>
    <row r="105" spans="1:7" ht="36">
      <c r="A105" s="104" t="s">
        <v>43</v>
      </c>
      <c r="B105" s="8">
        <f t="shared" si="1"/>
        <v>6461.173</v>
      </c>
      <c r="C105" s="70"/>
      <c r="D105" s="70"/>
      <c r="E105" s="17">
        <f>E106+E107</f>
        <v>1512.613</v>
      </c>
      <c r="F105" s="18">
        <f>F106+F107</f>
        <v>4948.5599999999995</v>
      </c>
      <c r="G105" s="3"/>
    </row>
    <row r="106" spans="1:7" ht="18.75">
      <c r="A106" s="101" t="s">
        <v>13</v>
      </c>
      <c r="B106" s="8">
        <f t="shared" si="1"/>
        <v>3053.9049999999997</v>
      </c>
      <c r="C106" s="70"/>
      <c r="D106" s="70"/>
      <c r="E106" s="17">
        <v>1458.549</v>
      </c>
      <c r="F106" s="18">
        <v>1595.356</v>
      </c>
      <c r="G106" s="3"/>
    </row>
    <row r="107" spans="1:7" ht="18.75">
      <c r="A107" s="101" t="s">
        <v>10</v>
      </c>
      <c r="B107" s="8">
        <f t="shared" si="1"/>
        <v>3407.2679999999996</v>
      </c>
      <c r="C107" s="17"/>
      <c r="D107" s="8"/>
      <c r="E107" s="17">
        <f>E108+E109</f>
        <v>54.064</v>
      </c>
      <c r="F107" s="18">
        <f>F108+F109</f>
        <v>3353.2039999999997</v>
      </c>
      <c r="G107" s="3"/>
    </row>
    <row r="108" spans="1:7" ht="18.75">
      <c r="A108" s="101" t="s">
        <v>11</v>
      </c>
      <c r="B108" s="8">
        <f t="shared" si="1"/>
        <v>345.868</v>
      </c>
      <c r="C108" s="8"/>
      <c r="D108" s="8"/>
      <c r="E108" s="70">
        <v>20.311</v>
      </c>
      <c r="F108" s="71">
        <v>325.557</v>
      </c>
      <c r="G108" s="3"/>
    </row>
    <row r="109" spans="1:7" ht="19.5" thickBot="1">
      <c r="A109" s="102" t="s">
        <v>12</v>
      </c>
      <c r="B109" s="19">
        <f t="shared" si="1"/>
        <v>3061.4</v>
      </c>
      <c r="C109" s="19"/>
      <c r="D109" s="19"/>
      <c r="E109" s="86">
        <v>33.753</v>
      </c>
      <c r="F109" s="87">
        <v>3027.647</v>
      </c>
      <c r="G109" s="3"/>
    </row>
    <row r="110" spans="1:7" ht="18.75" thickBot="1">
      <c r="A110" s="105"/>
      <c r="B110" s="106"/>
      <c r="C110" s="106"/>
      <c r="D110" s="106"/>
      <c r="E110" s="106"/>
      <c r="F110" s="106"/>
      <c r="G110" s="3"/>
    </row>
    <row r="111" spans="1:7" ht="35.25" customHeight="1" thickBot="1">
      <c r="A111" s="26" t="s">
        <v>50</v>
      </c>
      <c r="B111" s="113">
        <f>C111+D111+E111+F111</f>
        <v>133230.2649999999</v>
      </c>
      <c r="C111" s="118">
        <f>C105+C100+C95+C90+C85+C80+C75+C70+C65+C60+C55+C50+C45+C40+C35+C30+C25+C20+C15+C10+C5</f>
        <v>54693.50199999999</v>
      </c>
      <c r="D111" s="118">
        <f>D105+D100+D95+D90+D85+D80+D75+D70+D65+D60+D55+D50+D45+D40+D35+D30+D25+D20+D15+D10+D5</f>
        <v>2710.348</v>
      </c>
      <c r="E111" s="118">
        <f>E105+E100+E95+E90+E85+E80+E75+E70+E65+E60+E55+E50+E45+E40+E35+E30+E25+E20+E15+E10+E5</f>
        <v>33531.558999999994</v>
      </c>
      <c r="F111" s="118">
        <f>F105+F100+F95+F90+F85+F80+F75+F70+F65+F60+F55+F50+F45+F40+F35+F30+F25+F20+F15+F10+F5</f>
        <v>42294.8559999999</v>
      </c>
      <c r="G111" s="3"/>
    </row>
    <row r="114" spans="2:6" ht="18">
      <c r="B114" s="120"/>
      <c r="C114" s="120"/>
      <c r="D114" s="120"/>
      <c r="E114" s="120"/>
      <c r="F114" s="120"/>
    </row>
  </sheetData>
  <sheetProtection/>
  <mergeCells count="2">
    <mergeCell ref="A1:F1"/>
    <mergeCell ref="A2:F2"/>
  </mergeCells>
  <printOptions horizontalCentered="1"/>
  <pageMargins left="0.03937007874015748" right="0.03937007874015748" top="0.3937007874015748" bottom="0.03937007874015748" header="0.5118110236220472" footer="0.5118110236220472"/>
  <pageSetup fitToHeight="1" fitToWidth="1"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4"/>
  <sheetViews>
    <sheetView zoomScale="60" zoomScaleNormal="60" zoomScalePageLayoutView="0" workbookViewId="0" topLeftCell="A1">
      <pane xSplit="1" ySplit="4" topLeftCell="B71" activePane="bottomRight" state="frozen"/>
      <selection pane="topLeft" activeCell="I49" sqref="I49"/>
      <selection pane="topRight" activeCell="I49" sqref="I49"/>
      <selection pane="bottomLeft" activeCell="I49" sqref="I49"/>
      <selection pane="bottomRight" activeCell="L98" sqref="L98"/>
    </sheetView>
  </sheetViews>
  <sheetFormatPr defaultColWidth="9.00390625" defaultRowHeight="12.75"/>
  <cols>
    <col min="1" max="1" width="59.875" style="0" customWidth="1"/>
    <col min="2" max="6" width="25.25390625" style="0" customWidth="1"/>
    <col min="7" max="7" width="22.75390625" style="0" customWidth="1"/>
  </cols>
  <sheetData>
    <row r="1" spans="1:6" s="36" customFormat="1" ht="47.25" customHeight="1">
      <c r="A1" s="185" t="s">
        <v>29</v>
      </c>
      <c r="B1" s="185"/>
      <c r="C1" s="185"/>
      <c r="D1" s="185"/>
      <c r="E1" s="185"/>
      <c r="F1" s="185"/>
    </row>
    <row r="2" spans="1:6" s="37" customFormat="1" ht="23.25">
      <c r="A2" s="186" t="s">
        <v>65</v>
      </c>
      <c r="B2" s="186"/>
      <c r="C2" s="186"/>
      <c r="D2" s="188"/>
      <c r="E2" s="188"/>
      <c r="F2" s="188"/>
    </row>
    <row r="3" s="3" customFormat="1" ht="18.75" thickBot="1">
      <c r="F3" s="56" t="s">
        <v>28</v>
      </c>
    </row>
    <row r="4" spans="1:6" s="1" customFormat="1" ht="29.25" customHeight="1" thickBot="1">
      <c r="A4" s="38" t="s">
        <v>27</v>
      </c>
      <c r="B4" s="53"/>
      <c r="C4" s="42" t="s">
        <v>0</v>
      </c>
      <c r="D4" s="42" t="s">
        <v>1</v>
      </c>
      <c r="E4" s="42" t="s">
        <v>2</v>
      </c>
      <c r="F4" s="43" t="s">
        <v>3</v>
      </c>
    </row>
    <row r="5" spans="1:6" s="2" customFormat="1" ht="57" customHeight="1">
      <c r="A5" s="103" t="s">
        <v>35</v>
      </c>
      <c r="B5" s="28">
        <f>C5+D5+E5+F5</f>
        <v>272472.3959999999</v>
      </c>
      <c r="C5" s="74">
        <f>C6+C7</f>
        <v>113323.233</v>
      </c>
      <c r="D5" s="74">
        <f>D6+D7</f>
        <v>4403.126</v>
      </c>
      <c r="E5" s="74">
        <f>E6+E7</f>
        <v>69331.985</v>
      </c>
      <c r="F5" s="75">
        <f>F6+F7</f>
        <v>85414.05199999991</v>
      </c>
    </row>
    <row r="6" spans="1:7" s="2" customFormat="1" ht="27" customHeight="1">
      <c r="A6" s="101" t="s">
        <v>13</v>
      </c>
      <c r="B6" s="119">
        <f aca="true" t="shared" si="0" ref="B6:B69">C6+D6+E6+F6</f>
        <v>220627.53999999986</v>
      </c>
      <c r="C6" s="10">
        <f>'январь факт'!C6+'февраль факт'!C6+'март факт'!C6</f>
        <v>113164.72399999999</v>
      </c>
      <c r="D6" s="10">
        <f>'январь факт'!D6+'февраль факт'!D6+'март факт'!D6</f>
        <v>4398.5560000000005</v>
      </c>
      <c r="E6" s="10">
        <f>'январь факт'!E6+'февраль факт'!E6+'март факт'!E6</f>
        <v>66237.131</v>
      </c>
      <c r="F6" s="14">
        <f>'январь факт'!F6+'февраль факт'!F6+'март факт'!F6</f>
        <v>36827.1289999999</v>
      </c>
      <c r="G6" s="23"/>
    </row>
    <row r="7" spans="1:6" s="2" customFormat="1" ht="20.25" customHeight="1">
      <c r="A7" s="101" t="s">
        <v>10</v>
      </c>
      <c r="B7" s="8">
        <f t="shared" si="0"/>
        <v>51844.85600000001</v>
      </c>
      <c r="C7" s="10">
        <f>'январь факт'!C7+'февраль факт'!C7+'март факт'!C7</f>
        <v>158.50900000000001</v>
      </c>
      <c r="D7" s="10">
        <f>'январь факт'!D7+'февраль факт'!D7+'март факт'!D7</f>
        <v>4.57</v>
      </c>
      <c r="E7" s="10">
        <f>'январь факт'!E7+'февраль факт'!E7+'март факт'!E7</f>
        <v>3094.8540000000003</v>
      </c>
      <c r="F7" s="14">
        <f>'январь факт'!F7+'февраль факт'!F7+'март факт'!F7</f>
        <v>48586.92300000001</v>
      </c>
    </row>
    <row r="8" spans="1:6" s="2" customFormat="1" ht="21.75" customHeight="1">
      <c r="A8" s="101" t="s">
        <v>11</v>
      </c>
      <c r="B8" s="8">
        <f t="shared" si="0"/>
        <v>15253.238000000001</v>
      </c>
      <c r="C8" s="10">
        <f>'январь факт'!C8+'февраль факт'!C8+'март факт'!C8</f>
        <v>92.561</v>
      </c>
      <c r="D8" s="10">
        <f>'январь факт'!D8+'февраль факт'!D8+'март факт'!D8</f>
        <v>0</v>
      </c>
      <c r="E8" s="10">
        <f>'январь факт'!E8+'февраль факт'!E8+'март факт'!E8</f>
        <v>707.9749999999999</v>
      </c>
      <c r="F8" s="14">
        <f>'январь факт'!F8+'февраль факт'!F8+'март факт'!F8</f>
        <v>14452.702000000001</v>
      </c>
    </row>
    <row r="9" spans="1:6" s="2" customFormat="1" ht="24.75" customHeight="1">
      <c r="A9" s="101" t="s">
        <v>12</v>
      </c>
      <c r="B9" s="8">
        <f t="shared" si="0"/>
        <v>36591.618</v>
      </c>
      <c r="C9" s="10">
        <f>'январь факт'!C9+'февраль факт'!C9+'март факт'!C9</f>
        <v>65.94800000000001</v>
      </c>
      <c r="D9" s="10">
        <f>'январь факт'!D9+'февраль факт'!D9+'март факт'!D9</f>
        <v>4.57</v>
      </c>
      <c r="E9" s="10">
        <f>'январь факт'!E9+'февраль факт'!E9+'март факт'!E9</f>
        <v>2386.879</v>
      </c>
      <c r="F9" s="14">
        <f>'январь факт'!F9+'февраль факт'!F9+'март факт'!F9</f>
        <v>34134.221000000005</v>
      </c>
    </row>
    <row r="10" spans="1:6" s="2" customFormat="1" ht="47.25" customHeight="1">
      <c r="A10" s="104" t="s">
        <v>36</v>
      </c>
      <c r="B10" s="8">
        <f t="shared" si="0"/>
        <v>20866.006</v>
      </c>
      <c r="C10" s="8">
        <f>'январь факт'!C10+'февраль факт'!C10+'март факт'!C10</f>
        <v>3376.41</v>
      </c>
      <c r="D10" s="8">
        <f>'январь факт'!D10+'февраль факт'!D10+'март факт'!D10</f>
        <v>0</v>
      </c>
      <c r="E10" s="8">
        <f>'январь факт'!E10+'февраль факт'!E10+'март факт'!E10</f>
        <v>7463.495</v>
      </c>
      <c r="F10" s="9">
        <f>'январь факт'!F10+'февраль факт'!F10+'март факт'!F10</f>
        <v>10026.101</v>
      </c>
    </row>
    <row r="11" spans="1:6" s="2" customFormat="1" ht="21.75" customHeight="1">
      <c r="A11" s="101" t="s">
        <v>13</v>
      </c>
      <c r="B11" s="8">
        <f t="shared" si="0"/>
        <v>13370.86</v>
      </c>
      <c r="C11" s="10">
        <f>'январь факт'!C11+'февраль факт'!C11+'март факт'!C11</f>
        <v>3009.456</v>
      </c>
      <c r="D11" s="10">
        <f>'январь факт'!D11+'февраль факт'!D11+'март факт'!D11</f>
        <v>0</v>
      </c>
      <c r="E11" s="10">
        <f>'январь факт'!E11+'февраль факт'!E11+'март факт'!E11</f>
        <v>6225.139</v>
      </c>
      <c r="F11" s="14">
        <f>'январь факт'!F11+'февраль факт'!F11+'март факт'!F11</f>
        <v>4136.265</v>
      </c>
    </row>
    <row r="12" spans="1:6" s="2" customFormat="1" ht="19.5" customHeight="1">
      <c r="A12" s="101" t="s">
        <v>10</v>
      </c>
      <c r="B12" s="8">
        <f t="shared" si="0"/>
        <v>7495.146000000001</v>
      </c>
      <c r="C12" s="10">
        <f>'январь факт'!C12+'февраль факт'!C12+'март факт'!C12</f>
        <v>366.954</v>
      </c>
      <c r="D12" s="10">
        <f>'январь факт'!D12+'февраль факт'!D12+'март факт'!D12</f>
        <v>0</v>
      </c>
      <c r="E12" s="10">
        <f>'январь факт'!E12+'февраль факт'!E12+'март факт'!E12</f>
        <v>1238.356</v>
      </c>
      <c r="F12" s="14">
        <f>'январь факт'!F12+'февраль факт'!F12+'март факт'!F12</f>
        <v>5889.836</v>
      </c>
    </row>
    <row r="13" spans="1:6" s="2" customFormat="1" ht="17.25" customHeight="1">
      <c r="A13" s="101" t="s">
        <v>11</v>
      </c>
      <c r="B13" s="8">
        <f t="shared" si="0"/>
        <v>4153.753</v>
      </c>
      <c r="C13" s="10">
        <f>'январь факт'!C13+'февраль факт'!C13+'март факт'!C13</f>
        <v>0</v>
      </c>
      <c r="D13" s="10">
        <f>'январь факт'!D13+'февраль факт'!D13+'март факт'!D13</f>
        <v>0</v>
      </c>
      <c r="E13" s="10">
        <f>'январь факт'!E13+'февраль факт'!E13+'март факт'!E13</f>
        <v>204.693</v>
      </c>
      <c r="F13" s="14">
        <f>'январь факт'!F13+'февраль факт'!F13+'март факт'!F13</f>
        <v>3949.06</v>
      </c>
    </row>
    <row r="14" spans="1:6" s="2" customFormat="1" ht="17.25" customHeight="1">
      <c r="A14" s="101" t="s">
        <v>12</v>
      </c>
      <c r="B14" s="8">
        <f t="shared" si="0"/>
        <v>3341.393</v>
      </c>
      <c r="C14" s="10">
        <f>'январь факт'!C14+'февраль факт'!C14+'март факт'!C14</f>
        <v>366.954</v>
      </c>
      <c r="D14" s="10">
        <f>'январь факт'!D14+'февраль факт'!D14+'март факт'!D14</f>
        <v>0</v>
      </c>
      <c r="E14" s="10">
        <f>'январь факт'!E14+'февраль факт'!E14+'март факт'!E14</f>
        <v>1033.663</v>
      </c>
      <c r="F14" s="14">
        <f>'январь факт'!F14+'февраль факт'!F14+'март факт'!F14</f>
        <v>1940.776</v>
      </c>
    </row>
    <row r="15" spans="1:6" s="2" customFormat="1" ht="35.25" customHeight="1">
      <c r="A15" s="104" t="s">
        <v>6</v>
      </c>
      <c r="B15" s="8">
        <f t="shared" si="0"/>
        <v>4127.491</v>
      </c>
      <c r="C15" s="8">
        <f>'январь факт'!C15+'февраль факт'!C15+'март факт'!C15</f>
        <v>4127.491</v>
      </c>
      <c r="D15" s="8">
        <f>'январь факт'!D15+'февраль факт'!D15+'март факт'!D15</f>
        <v>0</v>
      </c>
      <c r="E15" s="8">
        <f>'январь факт'!E15+'февраль факт'!E15+'март факт'!E15</f>
        <v>0</v>
      </c>
      <c r="F15" s="9">
        <f>'январь факт'!F15+'февраль факт'!F15+'март факт'!F15</f>
        <v>0</v>
      </c>
    </row>
    <row r="16" spans="1:6" s="2" customFormat="1" ht="19.5" customHeight="1">
      <c r="A16" s="101" t="s">
        <v>13</v>
      </c>
      <c r="B16" s="8">
        <f t="shared" si="0"/>
        <v>4124.608</v>
      </c>
      <c r="C16" s="10">
        <f>'январь факт'!C16+'февраль факт'!C16+'март факт'!C16</f>
        <v>4124.608</v>
      </c>
      <c r="D16" s="10">
        <f>'январь факт'!D16+'февраль факт'!D16+'март факт'!D16</f>
        <v>0</v>
      </c>
      <c r="E16" s="10">
        <f>'январь факт'!E16+'февраль факт'!E16+'март факт'!E16</f>
        <v>0</v>
      </c>
      <c r="F16" s="14">
        <f>'январь факт'!F16+'февраль факт'!F16+'март факт'!F16</f>
        <v>0</v>
      </c>
    </row>
    <row r="17" spans="1:6" s="2" customFormat="1" ht="18" customHeight="1">
      <c r="A17" s="101" t="s">
        <v>10</v>
      </c>
      <c r="B17" s="8">
        <f t="shared" si="0"/>
        <v>2.8829999999999996</v>
      </c>
      <c r="C17" s="10">
        <f>'январь факт'!C17+'февраль факт'!C17+'март факт'!C17</f>
        <v>2.8829999999999996</v>
      </c>
      <c r="D17" s="10">
        <f>'январь факт'!D17+'февраль факт'!D17+'март факт'!D17</f>
        <v>0</v>
      </c>
      <c r="E17" s="10">
        <f>'январь факт'!E17+'февраль факт'!E17+'март факт'!E17</f>
        <v>0</v>
      </c>
      <c r="F17" s="14">
        <f>'январь факт'!F17+'февраль факт'!F17+'март факт'!F17</f>
        <v>0</v>
      </c>
    </row>
    <row r="18" spans="1:6" s="2" customFormat="1" ht="19.5" customHeight="1">
      <c r="A18" s="101" t="s">
        <v>11</v>
      </c>
      <c r="B18" s="8">
        <f t="shared" si="0"/>
        <v>2.8829999999999996</v>
      </c>
      <c r="C18" s="10">
        <f>'январь факт'!C18+'февраль факт'!C18+'март факт'!C18</f>
        <v>2.8829999999999996</v>
      </c>
      <c r="D18" s="10">
        <f>'январь факт'!D18+'февраль факт'!D18+'март факт'!D18</f>
        <v>0</v>
      </c>
      <c r="E18" s="10">
        <f>'январь факт'!E18+'февраль факт'!E18+'март факт'!E18</f>
        <v>0</v>
      </c>
      <c r="F18" s="14">
        <f>'январь факт'!F18+'февраль факт'!F18+'март факт'!F18</f>
        <v>0</v>
      </c>
    </row>
    <row r="19" spans="1:6" s="2" customFormat="1" ht="19.5" customHeight="1">
      <c r="A19" s="101" t="s">
        <v>12</v>
      </c>
      <c r="B19" s="8">
        <f t="shared" si="0"/>
        <v>0</v>
      </c>
      <c r="C19" s="10">
        <f>'январь факт'!C19+'февраль факт'!C19+'март факт'!C19</f>
        <v>0</v>
      </c>
      <c r="D19" s="10">
        <f>'январь факт'!D19+'февраль факт'!D19+'март факт'!D19</f>
        <v>0</v>
      </c>
      <c r="E19" s="10">
        <f>'январь факт'!E19+'февраль факт'!E19+'март факт'!E19</f>
        <v>0</v>
      </c>
      <c r="F19" s="14">
        <f>'январь факт'!F19+'февраль факт'!F19+'март факт'!F19</f>
        <v>0</v>
      </c>
    </row>
    <row r="20" spans="1:6" s="2" customFormat="1" ht="51" customHeight="1">
      <c r="A20" s="104" t="s">
        <v>37</v>
      </c>
      <c r="B20" s="8">
        <f t="shared" si="0"/>
        <v>2867.9790000000003</v>
      </c>
      <c r="C20" s="8">
        <f>'январь факт'!C20+'февраль факт'!C20+'март факт'!C20</f>
        <v>32.386</v>
      </c>
      <c r="D20" s="8">
        <f>'январь факт'!D20+'февраль факт'!D20+'март факт'!D20</f>
        <v>2521.112</v>
      </c>
      <c r="E20" s="8">
        <f>'январь факт'!E20+'февраль факт'!E20+'март факт'!E20</f>
        <v>81.878</v>
      </c>
      <c r="F20" s="9">
        <f>'январь факт'!F20+'февраль факт'!F20+'март факт'!F20</f>
        <v>232.603</v>
      </c>
    </row>
    <row r="21" spans="1:6" s="2" customFormat="1" ht="21.75" customHeight="1">
      <c r="A21" s="101" t="s">
        <v>13</v>
      </c>
      <c r="B21" s="8">
        <f t="shared" si="0"/>
        <v>2810.139</v>
      </c>
      <c r="C21" s="10">
        <f>'январь факт'!C21+'февраль факт'!C21+'март факт'!C21</f>
        <v>32.386</v>
      </c>
      <c r="D21" s="10">
        <f>'январь факт'!D21+'февраль факт'!D21+'март факт'!D21</f>
        <v>2521.112</v>
      </c>
      <c r="E21" s="10">
        <f>'январь факт'!E21+'февраль факт'!E21+'март факт'!E21</f>
        <v>81.878</v>
      </c>
      <c r="F21" s="14">
        <f>'январь факт'!F21+'февраль факт'!F21+'март факт'!F21</f>
        <v>174.763</v>
      </c>
    </row>
    <row r="22" spans="1:6" s="2" customFormat="1" ht="21" customHeight="1">
      <c r="A22" s="101" t="s">
        <v>10</v>
      </c>
      <c r="B22" s="8">
        <f t="shared" si="0"/>
        <v>57.84</v>
      </c>
      <c r="C22" s="10">
        <f>'январь факт'!C22+'февраль факт'!C22+'март факт'!C22</f>
        <v>0</v>
      </c>
      <c r="D22" s="10">
        <f>'январь факт'!D22+'февраль факт'!D22+'март факт'!D22</f>
        <v>0</v>
      </c>
      <c r="E22" s="10">
        <f>'январь факт'!E22+'февраль факт'!E22+'март факт'!E22</f>
        <v>0</v>
      </c>
      <c r="F22" s="14">
        <f>'январь факт'!F22+'февраль факт'!F22+'март факт'!F22</f>
        <v>57.84</v>
      </c>
    </row>
    <row r="23" spans="1:6" s="2" customFormat="1" ht="21.75" customHeight="1">
      <c r="A23" s="101" t="s">
        <v>11</v>
      </c>
      <c r="B23" s="8">
        <f t="shared" si="0"/>
        <v>57.84</v>
      </c>
      <c r="C23" s="10">
        <f>'январь факт'!C23+'февраль факт'!C23+'март факт'!C23</f>
        <v>0</v>
      </c>
      <c r="D23" s="10">
        <f>'январь факт'!D23+'февраль факт'!D23+'март факт'!D23</f>
        <v>0</v>
      </c>
      <c r="E23" s="10">
        <f>'январь факт'!E23+'февраль факт'!E23+'март факт'!E23</f>
        <v>0</v>
      </c>
      <c r="F23" s="14">
        <f>'январь факт'!F23+'февраль факт'!F23+'март факт'!F23</f>
        <v>57.84</v>
      </c>
    </row>
    <row r="24" spans="1:6" s="2" customFormat="1" ht="21" customHeight="1">
      <c r="A24" s="101" t="s">
        <v>12</v>
      </c>
      <c r="B24" s="8">
        <f t="shared" si="0"/>
        <v>0</v>
      </c>
      <c r="C24" s="10">
        <f>'январь факт'!C24+'февраль факт'!C24+'март факт'!C24</f>
        <v>0</v>
      </c>
      <c r="D24" s="10">
        <f>'январь факт'!D24+'февраль факт'!D24+'март факт'!D24</f>
        <v>0</v>
      </c>
      <c r="E24" s="10">
        <f>'январь факт'!E24+'февраль факт'!E24+'март факт'!E24</f>
        <v>0</v>
      </c>
      <c r="F24" s="14">
        <f>'январь факт'!F24+'февраль факт'!F24+'март факт'!F24</f>
        <v>0</v>
      </c>
    </row>
    <row r="25" spans="1:6" s="2" customFormat="1" ht="41.25" customHeight="1">
      <c r="A25" s="104" t="s">
        <v>7</v>
      </c>
      <c r="B25" s="8">
        <f t="shared" si="0"/>
        <v>38216.138999999996</v>
      </c>
      <c r="C25" s="8">
        <f>'январь факт'!C25+'февраль факт'!C25+'март факт'!C25</f>
        <v>19477.623</v>
      </c>
      <c r="D25" s="8">
        <f>'январь факт'!D25+'февраль факт'!D25+'март факт'!D25</f>
        <v>0</v>
      </c>
      <c r="E25" s="8">
        <f>'январь факт'!E25+'февраль факт'!E25+'март факт'!E25</f>
        <v>6674.25</v>
      </c>
      <c r="F25" s="9">
        <f>'январь факт'!F25+'февраль факт'!F25+'март факт'!F25</f>
        <v>12064.266</v>
      </c>
    </row>
    <row r="26" spans="1:6" s="2" customFormat="1" ht="19.5" customHeight="1">
      <c r="A26" s="101" t="s">
        <v>13</v>
      </c>
      <c r="B26" s="8">
        <f t="shared" si="0"/>
        <v>30216.654</v>
      </c>
      <c r="C26" s="10">
        <f>'январь факт'!C26+'февраль факт'!C26+'март факт'!C26</f>
        <v>19477.623</v>
      </c>
      <c r="D26" s="10">
        <f>'январь факт'!D26+'февраль факт'!D26+'март факт'!D26</f>
        <v>0</v>
      </c>
      <c r="E26" s="10">
        <f>'январь факт'!E26+'февраль факт'!E26+'март факт'!E26</f>
        <v>6452.554</v>
      </c>
      <c r="F26" s="14">
        <f>'январь факт'!F26+'февраль факт'!F26+'март факт'!F26</f>
        <v>4286.477</v>
      </c>
    </row>
    <row r="27" spans="1:6" s="2" customFormat="1" ht="24.75" customHeight="1">
      <c r="A27" s="101" t="s">
        <v>10</v>
      </c>
      <c r="B27" s="8">
        <f t="shared" si="0"/>
        <v>7999.485000000001</v>
      </c>
      <c r="C27" s="10">
        <f>'январь факт'!C27+'февраль факт'!C27+'март факт'!C27</f>
        <v>0</v>
      </c>
      <c r="D27" s="10">
        <f>'январь факт'!D27+'февраль факт'!D27+'март факт'!D27</f>
        <v>0</v>
      </c>
      <c r="E27" s="10">
        <f>'январь факт'!E27+'февраль факт'!E27+'март факт'!E27</f>
        <v>221.696</v>
      </c>
      <c r="F27" s="14">
        <f>'январь факт'!F27+'февраль факт'!F27+'март факт'!F27</f>
        <v>7777.789000000001</v>
      </c>
    </row>
    <row r="28" spans="1:6" s="2" customFormat="1" ht="25.5" customHeight="1">
      <c r="A28" s="101" t="s">
        <v>11</v>
      </c>
      <c r="B28" s="8">
        <f t="shared" si="0"/>
        <v>7894.6990000000005</v>
      </c>
      <c r="C28" s="10">
        <f>'январь факт'!C28+'февраль факт'!C28+'март факт'!C28</f>
        <v>0</v>
      </c>
      <c r="D28" s="10">
        <f>'январь факт'!D28+'февраль факт'!D28+'март факт'!D28</f>
        <v>0</v>
      </c>
      <c r="E28" s="10">
        <f>'январь факт'!E28+'февраль факт'!E28+'март факт'!E28</f>
        <v>221.696</v>
      </c>
      <c r="F28" s="14">
        <f>'январь факт'!F28+'февраль факт'!F28+'март факт'!F28</f>
        <v>7673.003000000001</v>
      </c>
    </row>
    <row r="29" spans="1:6" s="2" customFormat="1" ht="20.25" customHeight="1">
      <c r="A29" s="101" t="s">
        <v>12</v>
      </c>
      <c r="B29" s="8">
        <f t="shared" si="0"/>
        <v>104.78599999999999</v>
      </c>
      <c r="C29" s="10">
        <f>'январь факт'!C29+'февраль факт'!C29+'март факт'!C29</f>
        <v>0</v>
      </c>
      <c r="D29" s="10">
        <f>'январь факт'!D29+'февраль факт'!D29+'март факт'!D29</f>
        <v>0</v>
      </c>
      <c r="E29" s="10">
        <f>'январь факт'!E29+'февраль факт'!E29+'март факт'!E29</f>
        <v>0</v>
      </c>
      <c r="F29" s="14">
        <f>'январь факт'!F29+'февраль факт'!F29+'март факт'!F29</f>
        <v>104.78599999999999</v>
      </c>
    </row>
    <row r="30" spans="1:6" s="2" customFormat="1" ht="50.25" customHeight="1">
      <c r="A30" s="104" t="s">
        <v>38</v>
      </c>
      <c r="B30" s="8">
        <f t="shared" si="0"/>
        <v>372.549</v>
      </c>
      <c r="C30" s="8">
        <f>'январь факт'!C30+'февраль факт'!C30+'март факт'!C30</f>
        <v>0</v>
      </c>
      <c r="D30" s="8">
        <f>'январь факт'!D30+'февраль факт'!D30+'март факт'!D30</f>
        <v>0</v>
      </c>
      <c r="E30" s="8">
        <f>'январь факт'!E30+'февраль факт'!E30+'март факт'!E30</f>
        <v>225.83499999999998</v>
      </c>
      <c r="F30" s="9">
        <f>'январь факт'!F30+'февраль факт'!F30+'март факт'!F30</f>
        <v>146.714</v>
      </c>
    </row>
    <row r="31" spans="1:6" s="2" customFormat="1" ht="22.5" customHeight="1">
      <c r="A31" s="101" t="s">
        <v>13</v>
      </c>
      <c r="B31" s="8">
        <f t="shared" si="0"/>
        <v>289.154</v>
      </c>
      <c r="C31" s="10">
        <f>'январь факт'!C31+'февраль факт'!C31+'март факт'!C31</f>
        <v>0</v>
      </c>
      <c r="D31" s="10">
        <f>'январь факт'!D31+'февраль факт'!D31+'март факт'!D31</f>
        <v>0</v>
      </c>
      <c r="E31" s="10">
        <f>'январь факт'!E31+'февраль факт'!E31+'март факт'!E31</f>
        <v>225.83499999999998</v>
      </c>
      <c r="F31" s="14">
        <f>'январь факт'!F31+'февраль факт'!F31+'март факт'!F31</f>
        <v>63.319</v>
      </c>
    </row>
    <row r="32" spans="1:6" s="2" customFormat="1" ht="24.75" customHeight="1">
      <c r="A32" s="101" t="s">
        <v>10</v>
      </c>
      <c r="B32" s="8">
        <f t="shared" si="0"/>
        <v>83.39500000000001</v>
      </c>
      <c r="C32" s="10">
        <f>'январь факт'!C32+'февраль факт'!C32+'март факт'!C32</f>
        <v>0</v>
      </c>
      <c r="D32" s="10">
        <f>'январь факт'!D32+'февраль факт'!D32+'март факт'!D32</f>
        <v>0</v>
      </c>
      <c r="E32" s="10">
        <f>'январь факт'!E32+'февраль факт'!E32+'март факт'!E32</f>
        <v>0</v>
      </c>
      <c r="F32" s="14">
        <f>'январь факт'!F32+'февраль факт'!F32+'март факт'!F32</f>
        <v>83.39500000000001</v>
      </c>
    </row>
    <row r="33" spans="1:6" s="2" customFormat="1" ht="18" customHeight="1">
      <c r="A33" s="101" t="s">
        <v>11</v>
      </c>
      <c r="B33" s="8">
        <f t="shared" si="0"/>
        <v>69.217</v>
      </c>
      <c r="C33" s="10">
        <f>'январь факт'!C33+'февраль факт'!C33+'март факт'!C33</f>
        <v>0</v>
      </c>
      <c r="D33" s="10">
        <f>'январь факт'!D33+'февраль факт'!D33+'март факт'!D33</f>
        <v>0</v>
      </c>
      <c r="E33" s="10">
        <f>'январь факт'!E33+'февраль факт'!E33+'март факт'!E33</f>
        <v>0</v>
      </c>
      <c r="F33" s="14">
        <f>'январь факт'!F33+'февраль факт'!F33+'март факт'!F33</f>
        <v>69.217</v>
      </c>
    </row>
    <row r="34" spans="1:6" s="2" customFormat="1" ht="18" customHeight="1">
      <c r="A34" s="101" t="s">
        <v>12</v>
      </c>
      <c r="B34" s="8">
        <f t="shared" si="0"/>
        <v>14.178</v>
      </c>
      <c r="C34" s="10">
        <f>'январь факт'!C34+'февраль факт'!C34+'март факт'!C34</f>
        <v>0</v>
      </c>
      <c r="D34" s="10">
        <f>'январь факт'!D34+'февраль факт'!D34+'март факт'!D34</f>
        <v>0</v>
      </c>
      <c r="E34" s="10">
        <f>'январь факт'!E34+'февраль факт'!E34+'март факт'!E34</f>
        <v>0</v>
      </c>
      <c r="F34" s="14">
        <f>'январь факт'!F34+'февраль факт'!F34+'март факт'!F34</f>
        <v>14.178</v>
      </c>
    </row>
    <row r="35" spans="1:6" s="2" customFormat="1" ht="25.5" customHeight="1">
      <c r="A35" s="104" t="s">
        <v>39</v>
      </c>
      <c r="B35" s="8">
        <f t="shared" si="0"/>
        <v>599.1659999999999</v>
      </c>
      <c r="C35" s="8">
        <f>'январь факт'!C35+'февраль факт'!C35+'март факт'!C35</f>
        <v>0</v>
      </c>
      <c r="D35" s="8">
        <f>'январь факт'!D35+'февраль факт'!D35+'март факт'!D35</f>
        <v>0</v>
      </c>
      <c r="E35" s="8">
        <f>'январь факт'!E35+'февраль факт'!E35+'март факт'!E35</f>
        <v>0</v>
      </c>
      <c r="F35" s="9">
        <f>'январь факт'!F35+'февраль факт'!F35+'март факт'!F35</f>
        <v>599.1659999999999</v>
      </c>
    </row>
    <row r="36" spans="1:6" s="2" customFormat="1" ht="23.25" customHeight="1">
      <c r="A36" s="101" t="s">
        <v>13</v>
      </c>
      <c r="B36" s="8">
        <f t="shared" si="0"/>
        <v>559.365</v>
      </c>
      <c r="C36" s="10">
        <f>'январь факт'!C36+'февраль факт'!C36+'март факт'!C36</f>
        <v>0</v>
      </c>
      <c r="D36" s="10">
        <f>'январь факт'!D36+'февраль факт'!D36+'март факт'!D36</f>
        <v>0</v>
      </c>
      <c r="E36" s="10">
        <f>'январь факт'!E36+'февраль факт'!E36+'март факт'!E36</f>
        <v>0</v>
      </c>
      <c r="F36" s="14">
        <f>'январь факт'!F36+'февраль факт'!F36+'март факт'!F36</f>
        <v>559.365</v>
      </c>
    </row>
    <row r="37" spans="1:6" s="2" customFormat="1" ht="23.25" customHeight="1">
      <c r="A37" s="101" t="s">
        <v>10</v>
      </c>
      <c r="B37" s="8">
        <f t="shared" si="0"/>
        <v>39.801</v>
      </c>
      <c r="C37" s="10">
        <f>'январь факт'!C37+'февраль факт'!C37+'март факт'!C37</f>
        <v>0</v>
      </c>
      <c r="D37" s="10">
        <f>'январь факт'!D37+'февраль факт'!D37+'март факт'!D37</f>
        <v>0</v>
      </c>
      <c r="E37" s="10">
        <f>'январь факт'!E37+'февраль факт'!E37+'март факт'!E37</f>
        <v>0</v>
      </c>
      <c r="F37" s="14">
        <f>'январь факт'!F37+'февраль факт'!F37+'март факт'!F37</f>
        <v>39.801</v>
      </c>
    </row>
    <row r="38" spans="1:6" s="2" customFormat="1" ht="23.25" customHeight="1">
      <c r="A38" s="101" t="s">
        <v>11</v>
      </c>
      <c r="B38" s="8">
        <f t="shared" si="0"/>
        <v>0</v>
      </c>
      <c r="C38" s="10">
        <f>'январь факт'!C38+'февраль факт'!C38+'март факт'!C38</f>
        <v>0</v>
      </c>
      <c r="D38" s="10">
        <f>'январь факт'!D38+'февраль факт'!D38+'март факт'!D38</f>
        <v>0</v>
      </c>
      <c r="E38" s="10">
        <f>'январь факт'!E38+'февраль факт'!E38+'март факт'!E38</f>
        <v>0</v>
      </c>
      <c r="F38" s="14">
        <f>'январь факт'!F38+'февраль факт'!F38+'март факт'!F38</f>
        <v>0</v>
      </c>
    </row>
    <row r="39" spans="1:6" s="2" customFormat="1" ht="23.25" customHeight="1">
      <c r="A39" s="101" t="s">
        <v>12</v>
      </c>
      <c r="B39" s="8">
        <f t="shared" si="0"/>
        <v>39.801</v>
      </c>
      <c r="C39" s="10">
        <f>'январь факт'!C39+'февраль факт'!C39+'март факт'!C39</f>
        <v>0</v>
      </c>
      <c r="D39" s="10">
        <f>'январь факт'!D39+'февраль факт'!D39+'март факт'!D39</f>
        <v>0</v>
      </c>
      <c r="E39" s="10">
        <f>'январь факт'!E39+'февраль факт'!E39+'март факт'!E39</f>
        <v>0</v>
      </c>
      <c r="F39" s="14">
        <f>'январь факт'!F39+'февраль факт'!F39+'март факт'!F39</f>
        <v>39.801</v>
      </c>
    </row>
    <row r="40" spans="1:7" s="2" customFormat="1" ht="42" customHeight="1">
      <c r="A40" s="104" t="s">
        <v>24</v>
      </c>
      <c r="B40" s="8">
        <f t="shared" si="0"/>
        <v>534.376</v>
      </c>
      <c r="C40" s="8">
        <f>'январь факт'!C40+'февраль факт'!C40+'март факт'!C40</f>
        <v>66.34700000000001</v>
      </c>
      <c r="D40" s="8">
        <f>'январь факт'!D40+'февраль факт'!D40+'март факт'!D40</f>
        <v>0</v>
      </c>
      <c r="E40" s="8">
        <f>'январь факт'!E40+'февраль факт'!E40+'март факт'!E40</f>
        <v>468.029</v>
      </c>
      <c r="F40" s="9">
        <f>'январь факт'!F40+'февраль факт'!F40+'март факт'!F40</f>
        <v>0</v>
      </c>
      <c r="G40" s="6"/>
    </row>
    <row r="41" spans="1:6" s="2" customFormat="1" ht="19.5" customHeight="1">
      <c r="A41" s="101" t="s">
        <v>13</v>
      </c>
      <c r="B41" s="8">
        <f t="shared" si="0"/>
        <v>534.376</v>
      </c>
      <c r="C41" s="10">
        <f>'январь факт'!C41+'февраль факт'!C41+'март факт'!C41</f>
        <v>66.34700000000001</v>
      </c>
      <c r="D41" s="10">
        <f>'январь факт'!D41+'февраль факт'!D41+'март факт'!D41</f>
        <v>0</v>
      </c>
      <c r="E41" s="10">
        <f>'январь факт'!E41+'февраль факт'!E41+'март факт'!E41</f>
        <v>468.029</v>
      </c>
      <c r="F41" s="14">
        <f>'январь факт'!F41+'февраль факт'!F41+'март факт'!F41</f>
        <v>0</v>
      </c>
    </row>
    <row r="42" spans="1:6" s="2" customFormat="1" ht="19.5" customHeight="1">
      <c r="A42" s="101" t="s">
        <v>10</v>
      </c>
      <c r="B42" s="8">
        <f t="shared" si="0"/>
        <v>0</v>
      </c>
      <c r="C42" s="10">
        <f>'январь факт'!C42+'февраль факт'!C42+'март факт'!C42</f>
        <v>0</v>
      </c>
      <c r="D42" s="10">
        <f>'январь факт'!D42+'февраль факт'!D42+'март факт'!D42</f>
        <v>0</v>
      </c>
      <c r="E42" s="10">
        <f>'январь факт'!E42+'февраль факт'!E42+'март факт'!E42</f>
        <v>0</v>
      </c>
      <c r="F42" s="14">
        <f>'январь факт'!F42+'февраль факт'!F42+'март факт'!F42</f>
        <v>0</v>
      </c>
    </row>
    <row r="43" spans="1:6" s="2" customFormat="1" ht="19.5" customHeight="1">
      <c r="A43" s="101" t="s">
        <v>11</v>
      </c>
      <c r="B43" s="8">
        <f t="shared" si="0"/>
        <v>0</v>
      </c>
      <c r="C43" s="10">
        <f>'январь факт'!C43+'февраль факт'!C43+'март факт'!C43</f>
        <v>0</v>
      </c>
      <c r="D43" s="10">
        <f>'январь факт'!D43+'февраль факт'!D43+'март факт'!D43</f>
        <v>0</v>
      </c>
      <c r="E43" s="10">
        <f>'январь факт'!E43+'февраль факт'!E43+'март факт'!E43</f>
        <v>0</v>
      </c>
      <c r="F43" s="14">
        <f>'январь факт'!F43+'февраль факт'!F43+'март факт'!F43</f>
        <v>0</v>
      </c>
    </row>
    <row r="44" spans="1:6" s="2" customFormat="1" ht="19.5" customHeight="1">
      <c r="A44" s="101" t="s">
        <v>12</v>
      </c>
      <c r="B44" s="8">
        <f t="shared" si="0"/>
        <v>0</v>
      </c>
      <c r="C44" s="10">
        <f>'январь факт'!C44+'февраль факт'!C44+'март факт'!C44</f>
        <v>0</v>
      </c>
      <c r="D44" s="10">
        <f>'январь факт'!D44+'февраль факт'!D44+'март факт'!D44</f>
        <v>0</v>
      </c>
      <c r="E44" s="10">
        <f>'январь факт'!E44+'февраль факт'!E44+'март факт'!E44</f>
        <v>0</v>
      </c>
      <c r="F44" s="14">
        <f>'январь факт'!F44+'февраль факт'!F44+'март факт'!F44</f>
        <v>0</v>
      </c>
    </row>
    <row r="45" spans="1:6" s="2" customFormat="1" ht="24.75" customHeight="1">
      <c r="A45" s="81" t="s">
        <v>26</v>
      </c>
      <c r="B45" s="8">
        <f t="shared" si="0"/>
        <v>1446.0349999999999</v>
      </c>
      <c r="C45" s="8">
        <f>'январь факт'!C45+'февраль факт'!C45+'март факт'!C45</f>
        <v>0</v>
      </c>
      <c r="D45" s="8">
        <f>'январь факт'!D45+'февраль факт'!D45+'март факт'!D45</f>
        <v>0</v>
      </c>
      <c r="E45" s="8">
        <f>'январь факт'!E45+'февраль факт'!E45+'март факт'!E45</f>
        <v>1022.3009999999999</v>
      </c>
      <c r="F45" s="9">
        <f>'январь факт'!F45+'февраль факт'!F45+'март факт'!F45</f>
        <v>423.73400000000004</v>
      </c>
    </row>
    <row r="46" spans="1:6" s="2" customFormat="1" ht="24.75" customHeight="1">
      <c r="A46" s="101" t="s">
        <v>13</v>
      </c>
      <c r="B46" s="8">
        <f t="shared" si="0"/>
        <v>1446.0349999999999</v>
      </c>
      <c r="C46" s="10">
        <f>'январь факт'!C46+'февраль факт'!C46+'март факт'!C46</f>
        <v>0</v>
      </c>
      <c r="D46" s="10">
        <f>'январь факт'!D46+'февраль факт'!D46+'март факт'!D46</f>
        <v>0</v>
      </c>
      <c r="E46" s="10">
        <f>'январь факт'!E46+'февраль факт'!E46+'март факт'!E46</f>
        <v>1022.3009999999999</v>
      </c>
      <c r="F46" s="14">
        <f>'январь факт'!F46+'февраль факт'!F46+'март факт'!F46</f>
        <v>423.73400000000004</v>
      </c>
    </row>
    <row r="47" spans="1:6" s="2" customFormat="1" ht="24.75" customHeight="1">
      <c r="A47" s="101" t="s">
        <v>10</v>
      </c>
      <c r="B47" s="8">
        <f t="shared" si="0"/>
        <v>0</v>
      </c>
      <c r="C47" s="10">
        <f>'январь факт'!C47+'февраль факт'!C47+'март факт'!C47</f>
        <v>0</v>
      </c>
      <c r="D47" s="10">
        <f>'январь факт'!D47+'февраль факт'!D47+'март факт'!D47</f>
        <v>0</v>
      </c>
      <c r="E47" s="10">
        <f>'январь факт'!E47+'февраль факт'!E47+'март факт'!E47</f>
        <v>0</v>
      </c>
      <c r="F47" s="14">
        <f>'январь факт'!F47+'февраль факт'!F47+'март факт'!F47</f>
        <v>0</v>
      </c>
    </row>
    <row r="48" spans="1:6" s="2" customFormat="1" ht="24.75" customHeight="1">
      <c r="A48" s="101" t="s">
        <v>11</v>
      </c>
      <c r="B48" s="8">
        <f t="shared" si="0"/>
        <v>0</v>
      </c>
      <c r="C48" s="10">
        <f>'январь факт'!C48+'февраль факт'!C48+'март факт'!C48</f>
        <v>0</v>
      </c>
      <c r="D48" s="10">
        <f>'январь факт'!D48+'февраль факт'!D48+'март факт'!D48</f>
        <v>0</v>
      </c>
      <c r="E48" s="10">
        <f>'январь факт'!E48+'февраль факт'!E48+'март факт'!E48</f>
        <v>0</v>
      </c>
      <c r="F48" s="14">
        <f>'январь факт'!F48+'февраль факт'!F48+'март факт'!F48</f>
        <v>0</v>
      </c>
    </row>
    <row r="49" spans="1:6" s="2" customFormat="1" ht="24.75" customHeight="1">
      <c r="A49" s="101" t="s">
        <v>12</v>
      </c>
      <c r="B49" s="8">
        <f t="shared" si="0"/>
        <v>0</v>
      </c>
      <c r="C49" s="10">
        <f>'январь факт'!C49+'февраль факт'!C49+'март факт'!C49</f>
        <v>0</v>
      </c>
      <c r="D49" s="10">
        <f>'январь факт'!D49+'февраль факт'!D49+'март факт'!D49</f>
        <v>0</v>
      </c>
      <c r="E49" s="10">
        <f>'январь факт'!E49+'февраль факт'!E49+'март факт'!E49</f>
        <v>0</v>
      </c>
      <c r="F49" s="14">
        <f>'январь факт'!F49+'февраль факт'!F49+'март факт'!F49</f>
        <v>0</v>
      </c>
    </row>
    <row r="50" spans="1:6" s="2" customFormat="1" ht="24.75" customHeight="1">
      <c r="A50" s="81" t="s">
        <v>4</v>
      </c>
      <c r="B50" s="8">
        <f t="shared" si="0"/>
        <v>2396.393</v>
      </c>
      <c r="C50" s="8">
        <f>'январь факт'!C50+'февраль факт'!C50+'март факт'!C50</f>
        <v>2396.393</v>
      </c>
      <c r="D50" s="8">
        <f>'январь факт'!D50+'февраль факт'!D50+'март факт'!D50</f>
        <v>0</v>
      </c>
      <c r="E50" s="8">
        <f>'январь факт'!E50+'февраль факт'!E50+'март факт'!E50</f>
        <v>0</v>
      </c>
      <c r="F50" s="9">
        <f>'январь факт'!F50+'февраль факт'!F50+'март факт'!F50</f>
        <v>0</v>
      </c>
    </row>
    <row r="51" spans="1:6" s="2" customFormat="1" ht="24.75" customHeight="1">
      <c r="A51" s="101" t="s">
        <v>13</v>
      </c>
      <c r="B51" s="8">
        <f t="shared" si="0"/>
        <v>2396.393</v>
      </c>
      <c r="C51" s="10">
        <f>'январь факт'!C51+'февраль факт'!C51+'март факт'!C51</f>
        <v>2396.393</v>
      </c>
      <c r="D51" s="10">
        <f>'январь факт'!D51+'февраль факт'!D51+'март факт'!D51</f>
        <v>0</v>
      </c>
      <c r="E51" s="10">
        <f>'январь факт'!E51+'февраль факт'!E51+'март факт'!E51</f>
        <v>0</v>
      </c>
      <c r="F51" s="14">
        <f>'январь факт'!F51+'февраль факт'!F51+'март факт'!F51</f>
        <v>0</v>
      </c>
    </row>
    <row r="52" spans="1:6" s="2" customFormat="1" ht="24.75" customHeight="1">
      <c r="A52" s="101" t="s">
        <v>10</v>
      </c>
      <c r="B52" s="8">
        <f t="shared" si="0"/>
        <v>0</v>
      </c>
      <c r="C52" s="10">
        <f>'январь факт'!C52+'февраль факт'!C52+'март факт'!C52</f>
        <v>0</v>
      </c>
      <c r="D52" s="10">
        <f>'январь факт'!D52+'февраль факт'!D52+'март факт'!D52</f>
        <v>0</v>
      </c>
      <c r="E52" s="10">
        <f>'январь факт'!E52+'февраль факт'!E52+'март факт'!E52</f>
        <v>0</v>
      </c>
      <c r="F52" s="14">
        <f>'январь факт'!F52+'февраль факт'!F52+'март факт'!F52</f>
        <v>0</v>
      </c>
    </row>
    <row r="53" spans="1:6" s="2" customFormat="1" ht="24.75" customHeight="1">
      <c r="A53" s="101" t="s">
        <v>11</v>
      </c>
      <c r="B53" s="8">
        <f t="shared" si="0"/>
        <v>0</v>
      </c>
      <c r="C53" s="10">
        <f>'январь факт'!C53+'февраль факт'!C53+'март факт'!C53</f>
        <v>0</v>
      </c>
      <c r="D53" s="10">
        <f>'январь факт'!D53+'февраль факт'!D53+'март факт'!D53</f>
        <v>0</v>
      </c>
      <c r="E53" s="10">
        <f>'январь факт'!E53+'февраль факт'!E53+'март факт'!E53</f>
        <v>0</v>
      </c>
      <c r="F53" s="14">
        <f>'январь факт'!F53+'февраль факт'!F53+'март факт'!F53</f>
        <v>0</v>
      </c>
    </row>
    <row r="54" spans="1:10" s="2" customFormat="1" ht="24.75" customHeight="1">
      <c r="A54" s="101" t="s">
        <v>12</v>
      </c>
      <c r="B54" s="8">
        <f t="shared" si="0"/>
        <v>0</v>
      </c>
      <c r="C54" s="10">
        <f>'январь факт'!C54+'февраль факт'!C54+'март факт'!C54</f>
        <v>0</v>
      </c>
      <c r="D54" s="10">
        <f>'январь факт'!D54+'февраль факт'!D54+'март факт'!D54</f>
        <v>0</v>
      </c>
      <c r="E54" s="10">
        <f>'январь факт'!E54+'февраль факт'!E54+'март факт'!E54</f>
        <v>0</v>
      </c>
      <c r="F54" s="14">
        <f>'январь факт'!F54+'февраль факт'!F54+'март факт'!F54</f>
        <v>0</v>
      </c>
      <c r="H54" s="54"/>
      <c r="I54" s="52"/>
      <c r="J54" s="52"/>
    </row>
    <row r="55" spans="1:6" s="2" customFormat="1" ht="50.25" customHeight="1">
      <c r="A55" s="104" t="s">
        <v>40</v>
      </c>
      <c r="B55" s="8">
        <f t="shared" si="0"/>
        <v>5748.3150000000005</v>
      </c>
      <c r="C55" s="8">
        <f>'январь факт'!C55+'февраль факт'!C55+'март факт'!C55</f>
        <v>2880.46</v>
      </c>
      <c r="D55" s="8">
        <f>'январь факт'!D55+'февраль факт'!D55+'март факт'!D55</f>
        <v>0</v>
      </c>
      <c r="E55" s="8">
        <f>'январь факт'!E55+'февраль факт'!E55+'март факт'!E55</f>
        <v>1379.666</v>
      </c>
      <c r="F55" s="9">
        <f>'январь факт'!F55+'февраль факт'!F55+'март факт'!F55</f>
        <v>1488.189</v>
      </c>
    </row>
    <row r="56" spans="1:6" s="2" customFormat="1" ht="26.25" customHeight="1">
      <c r="A56" s="101" t="s">
        <v>13</v>
      </c>
      <c r="B56" s="8">
        <f t="shared" si="0"/>
        <v>4709.405000000001</v>
      </c>
      <c r="C56" s="10">
        <f>'январь факт'!C56+'февраль факт'!C56+'март факт'!C56</f>
        <v>2880.46</v>
      </c>
      <c r="D56" s="10">
        <f>'январь факт'!D56+'февраль факт'!D56+'март факт'!D56</f>
        <v>0</v>
      </c>
      <c r="E56" s="10">
        <f>'январь факт'!E56+'февраль факт'!E56+'март факт'!E56</f>
        <v>1379.666</v>
      </c>
      <c r="F56" s="14">
        <f>'январь факт'!F56+'февраль факт'!F56+'март факт'!F56</f>
        <v>449.279</v>
      </c>
    </row>
    <row r="57" spans="1:6" s="2" customFormat="1" ht="26.25" customHeight="1">
      <c r="A57" s="101" t="s">
        <v>10</v>
      </c>
      <c r="B57" s="8">
        <f t="shared" si="0"/>
        <v>1038.9099999999999</v>
      </c>
      <c r="C57" s="10">
        <f>'январь факт'!C57+'февраль факт'!C57+'март факт'!C57</f>
        <v>0</v>
      </c>
      <c r="D57" s="10">
        <f>'январь факт'!D57+'февраль факт'!D57+'март факт'!D57</f>
        <v>0</v>
      </c>
      <c r="E57" s="10">
        <f>'январь факт'!E57+'февраль факт'!E57+'март факт'!E57</f>
        <v>0</v>
      </c>
      <c r="F57" s="14">
        <f>'январь факт'!F57+'февраль факт'!F57+'март факт'!F57</f>
        <v>1038.9099999999999</v>
      </c>
    </row>
    <row r="58" spans="1:6" s="2" customFormat="1" ht="26.25" customHeight="1">
      <c r="A58" s="101" t="s">
        <v>11</v>
      </c>
      <c r="B58" s="8">
        <f t="shared" si="0"/>
        <v>930.99</v>
      </c>
      <c r="C58" s="10">
        <f>'январь факт'!C58+'февраль факт'!C58+'март факт'!C58</f>
        <v>0</v>
      </c>
      <c r="D58" s="10">
        <f>'январь факт'!D58+'февраль факт'!D58+'март факт'!D58</f>
        <v>0</v>
      </c>
      <c r="E58" s="10">
        <f>'январь факт'!E58+'февраль факт'!E58+'март факт'!E58</f>
        <v>0</v>
      </c>
      <c r="F58" s="14">
        <f>'январь факт'!F58+'февраль факт'!F58+'март факт'!F58</f>
        <v>930.99</v>
      </c>
    </row>
    <row r="59" spans="1:6" s="2" customFormat="1" ht="26.25" customHeight="1">
      <c r="A59" s="101" t="s">
        <v>12</v>
      </c>
      <c r="B59" s="8">
        <f t="shared" si="0"/>
        <v>107.92</v>
      </c>
      <c r="C59" s="10">
        <f>'январь факт'!C59+'февраль факт'!C59+'март факт'!C59</f>
        <v>0</v>
      </c>
      <c r="D59" s="10">
        <f>'январь факт'!D59+'февраль факт'!D59+'март факт'!D59</f>
        <v>0</v>
      </c>
      <c r="E59" s="10">
        <f>'январь факт'!E59+'февраль факт'!E59+'март факт'!E59</f>
        <v>0</v>
      </c>
      <c r="F59" s="14">
        <f>'январь факт'!F59+'февраль факт'!F59+'март факт'!F59</f>
        <v>107.92</v>
      </c>
    </row>
    <row r="60" spans="1:6" s="2" customFormat="1" ht="24.75" customHeight="1">
      <c r="A60" s="104" t="s">
        <v>25</v>
      </c>
      <c r="B60" s="8">
        <f t="shared" si="0"/>
        <v>6450.602999999999</v>
      </c>
      <c r="C60" s="8">
        <f>'январь факт'!C60+'февраль факт'!C60+'март факт'!C60</f>
        <v>6401.100999999999</v>
      </c>
      <c r="D60" s="8">
        <f>'январь факт'!D60+'февраль факт'!D60+'март факт'!D60</f>
        <v>0</v>
      </c>
      <c r="E60" s="8">
        <f>'январь факт'!E60+'февраль факт'!E60+'март факт'!E60</f>
        <v>0</v>
      </c>
      <c r="F60" s="9">
        <f>'январь факт'!F60+'февраль факт'!F60+'март факт'!F60</f>
        <v>49.501999999999995</v>
      </c>
    </row>
    <row r="61" spans="1:6" s="2" customFormat="1" ht="21.75" customHeight="1">
      <c r="A61" s="101" t="s">
        <v>13</v>
      </c>
      <c r="B61" s="8">
        <f t="shared" si="0"/>
        <v>6450.602999999999</v>
      </c>
      <c r="C61" s="10">
        <f>'январь факт'!C61+'февраль факт'!C61+'март факт'!C61</f>
        <v>6401.100999999999</v>
      </c>
      <c r="D61" s="10">
        <f>'январь факт'!D61+'февраль факт'!D61+'март факт'!D61</f>
        <v>0</v>
      </c>
      <c r="E61" s="10">
        <f>'январь факт'!E61+'февраль факт'!E61+'март факт'!E61</f>
        <v>0</v>
      </c>
      <c r="F61" s="14">
        <f>'январь факт'!F61+'февраль факт'!F61+'март факт'!F61</f>
        <v>49.501999999999995</v>
      </c>
    </row>
    <row r="62" spans="1:6" s="2" customFormat="1" ht="16.5" customHeight="1">
      <c r="A62" s="101" t="s">
        <v>10</v>
      </c>
      <c r="B62" s="8">
        <f t="shared" si="0"/>
        <v>0</v>
      </c>
      <c r="C62" s="10">
        <f>'январь факт'!C62+'февраль факт'!C62+'март факт'!C62</f>
        <v>0</v>
      </c>
      <c r="D62" s="10">
        <f>'январь факт'!D62+'февраль факт'!D62+'март факт'!D62</f>
        <v>0</v>
      </c>
      <c r="E62" s="10">
        <f>'январь факт'!E62+'февраль факт'!E62+'март факт'!E62</f>
        <v>0</v>
      </c>
      <c r="F62" s="14">
        <f>'январь факт'!F62+'февраль факт'!F62+'март факт'!F62</f>
        <v>0</v>
      </c>
    </row>
    <row r="63" spans="1:6" s="2" customFormat="1" ht="18" customHeight="1">
      <c r="A63" s="101" t="s">
        <v>11</v>
      </c>
      <c r="B63" s="8">
        <f t="shared" si="0"/>
        <v>0</v>
      </c>
      <c r="C63" s="10">
        <f>'январь факт'!C63+'февраль факт'!C63+'март факт'!C63</f>
        <v>0</v>
      </c>
      <c r="D63" s="10">
        <f>'январь факт'!D63+'февраль факт'!D63+'март факт'!D63</f>
        <v>0</v>
      </c>
      <c r="E63" s="10">
        <f>'январь факт'!E63+'февраль факт'!E63+'март факт'!E63</f>
        <v>0</v>
      </c>
      <c r="F63" s="14">
        <f>'январь факт'!F63+'февраль факт'!F63+'март факт'!F63</f>
        <v>0</v>
      </c>
    </row>
    <row r="64" spans="1:6" s="2" customFormat="1" ht="18" customHeight="1">
      <c r="A64" s="101" t="s">
        <v>12</v>
      </c>
      <c r="B64" s="8">
        <f t="shared" si="0"/>
        <v>0</v>
      </c>
      <c r="C64" s="10">
        <f>'январь факт'!C64+'февраль факт'!C64+'март факт'!C64</f>
        <v>0</v>
      </c>
      <c r="D64" s="10">
        <f>'январь факт'!D64+'февраль факт'!D64+'март факт'!D64</f>
        <v>0</v>
      </c>
      <c r="E64" s="10">
        <f>'январь факт'!E64+'февраль факт'!E64+'март факт'!E64</f>
        <v>0</v>
      </c>
      <c r="F64" s="14">
        <f>'январь факт'!F64+'февраль факт'!F64+'март факт'!F64</f>
        <v>0</v>
      </c>
    </row>
    <row r="65" spans="1:6" s="2" customFormat="1" ht="24.75" customHeight="1">
      <c r="A65" s="104" t="s">
        <v>41</v>
      </c>
      <c r="B65" s="8">
        <f t="shared" si="0"/>
        <v>143.794</v>
      </c>
      <c r="C65" s="8">
        <f>'январь факт'!C65+'февраль факт'!C65+'март факт'!C65</f>
        <v>0</v>
      </c>
      <c r="D65" s="8">
        <f>'январь факт'!D65+'февраль факт'!D65+'март факт'!D65</f>
        <v>0</v>
      </c>
      <c r="E65" s="8">
        <f>'январь факт'!E65+'февраль факт'!E65+'март факт'!E65</f>
        <v>143.794</v>
      </c>
      <c r="F65" s="9">
        <f>'январь факт'!F65+'февраль факт'!F65+'март факт'!F65</f>
        <v>0</v>
      </c>
    </row>
    <row r="66" spans="1:6" s="2" customFormat="1" ht="21.75" customHeight="1">
      <c r="A66" s="101" t="s">
        <v>13</v>
      </c>
      <c r="B66" s="8">
        <f t="shared" si="0"/>
        <v>143.794</v>
      </c>
      <c r="C66" s="10">
        <f>'январь факт'!C66+'февраль факт'!C66+'март факт'!C66</f>
        <v>0</v>
      </c>
      <c r="D66" s="10">
        <f>'январь факт'!D66+'февраль факт'!D66+'март факт'!D66</f>
        <v>0</v>
      </c>
      <c r="E66" s="10">
        <f>'январь факт'!E66+'февраль факт'!E66+'март факт'!E66</f>
        <v>143.794</v>
      </c>
      <c r="F66" s="14">
        <f>'январь факт'!F66+'февраль факт'!F66+'март факт'!F66</f>
        <v>0</v>
      </c>
    </row>
    <row r="67" spans="1:6" s="2" customFormat="1" ht="18" customHeight="1">
      <c r="A67" s="101" t="s">
        <v>10</v>
      </c>
      <c r="B67" s="8">
        <f t="shared" si="0"/>
        <v>0</v>
      </c>
      <c r="C67" s="10">
        <f>'январь факт'!C67+'февраль факт'!C67+'март факт'!C67</f>
        <v>0</v>
      </c>
      <c r="D67" s="10">
        <f>'январь факт'!D67+'февраль факт'!D67+'март факт'!D67</f>
        <v>0</v>
      </c>
      <c r="E67" s="10">
        <f>'январь факт'!E67+'февраль факт'!E67+'март факт'!E67</f>
        <v>0</v>
      </c>
      <c r="F67" s="14">
        <f>'январь факт'!F67+'февраль факт'!F67+'март факт'!F67</f>
        <v>0</v>
      </c>
    </row>
    <row r="68" spans="1:6" s="2" customFormat="1" ht="19.5" customHeight="1">
      <c r="A68" s="101" t="s">
        <v>11</v>
      </c>
      <c r="B68" s="8">
        <f t="shared" si="0"/>
        <v>0</v>
      </c>
      <c r="C68" s="10">
        <f>'январь факт'!C68+'февраль факт'!C68+'март факт'!C68</f>
        <v>0</v>
      </c>
      <c r="D68" s="10">
        <f>'январь факт'!D68+'февраль факт'!D68+'март факт'!D68</f>
        <v>0</v>
      </c>
      <c r="E68" s="10">
        <f>'январь факт'!E68+'февраль факт'!E68+'март факт'!E68</f>
        <v>0</v>
      </c>
      <c r="F68" s="14">
        <f>'январь факт'!F68+'февраль факт'!F68+'март факт'!F68</f>
        <v>0</v>
      </c>
    </row>
    <row r="69" spans="1:6" s="2" customFormat="1" ht="19.5" customHeight="1">
      <c r="A69" s="101" t="s">
        <v>12</v>
      </c>
      <c r="B69" s="8">
        <f t="shared" si="0"/>
        <v>0</v>
      </c>
      <c r="C69" s="10">
        <f>'январь факт'!C69+'февраль факт'!C69+'март факт'!C69</f>
        <v>0</v>
      </c>
      <c r="D69" s="10">
        <f>'январь факт'!D69+'февраль факт'!D69+'март факт'!D69</f>
        <v>0</v>
      </c>
      <c r="E69" s="10">
        <f>'январь факт'!E69+'февраль факт'!E69+'март факт'!E69</f>
        <v>0</v>
      </c>
      <c r="F69" s="14">
        <f>'январь факт'!F69+'февраль факт'!F69+'март факт'!F69</f>
        <v>0</v>
      </c>
    </row>
    <row r="70" spans="1:6" s="3" customFormat="1" ht="41.25" customHeight="1">
      <c r="A70" s="104" t="s">
        <v>23</v>
      </c>
      <c r="B70" s="8">
        <f aca="true" t="shared" si="1" ref="B70:B109">C70+D70+E70+F70</f>
        <v>299.779</v>
      </c>
      <c r="C70" s="8">
        <f>'январь факт'!C70+'февраль факт'!C70+'март факт'!C70</f>
        <v>0</v>
      </c>
      <c r="D70" s="8">
        <f>'январь факт'!D70+'февраль факт'!D70+'март факт'!D70</f>
        <v>0</v>
      </c>
      <c r="E70" s="8">
        <f>'январь факт'!E70+'февраль факт'!E70+'март факт'!E70</f>
        <v>0</v>
      </c>
      <c r="F70" s="9">
        <f>'январь факт'!F70+'февраль факт'!F70+'март факт'!F70</f>
        <v>299.779</v>
      </c>
    </row>
    <row r="71" spans="1:6" s="3" customFormat="1" ht="27.75" customHeight="1">
      <c r="A71" s="101" t="s">
        <v>13</v>
      </c>
      <c r="B71" s="8">
        <f t="shared" si="1"/>
        <v>51.667</v>
      </c>
      <c r="C71" s="10">
        <f>'январь факт'!C71+'февраль факт'!C71+'март факт'!C71</f>
        <v>0</v>
      </c>
      <c r="D71" s="10">
        <f>'январь факт'!D71+'февраль факт'!D71+'март факт'!D71</f>
        <v>0</v>
      </c>
      <c r="E71" s="10">
        <f>'январь факт'!E71+'февраль факт'!E71+'март факт'!E71</f>
        <v>0</v>
      </c>
      <c r="F71" s="14">
        <f>'январь факт'!F71+'февраль факт'!F71+'март факт'!F71</f>
        <v>51.667</v>
      </c>
    </row>
    <row r="72" spans="1:6" s="3" customFormat="1" ht="27.75" customHeight="1">
      <c r="A72" s="101" t="s">
        <v>10</v>
      </c>
      <c r="B72" s="8">
        <f t="shared" si="1"/>
        <v>248.112</v>
      </c>
      <c r="C72" s="10">
        <f>'январь факт'!C72+'февраль факт'!C72+'март факт'!C72</f>
        <v>0</v>
      </c>
      <c r="D72" s="10">
        <f>'январь факт'!D72+'февраль факт'!D72+'март факт'!D72</f>
        <v>0</v>
      </c>
      <c r="E72" s="10">
        <f>'январь факт'!E72+'февраль факт'!E72+'март факт'!E72</f>
        <v>0</v>
      </c>
      <c r="F72" s="14">
        <f>'январь факт'!F72+'февраль факт'!F72+'март факт'!F72</f>
        <v>248.112</v>
      </c>
    </row>
    <row r="73" spans="1:6" s="3" customFormat="1" ht="27.75" customHeight="1">
      <c r="A73" s="101" t="s">
        <v>11</v>
      </c>
      <c r="B73" s="8">
        <f t="shared" si="1"/>
        <v>248.112</v>
      </c>
      <c r="C73" s="10">
        <f>'январь факт'!C73+'февраль факт'!C73+'март факт'!C73</f>
        <v>0</v>
      </c>
      <c r="D73" s="10">
        <f>'январь факт'!D73+'февраль факт'!D73+'март факт'!D73</f>
        <v>0</v>
      </c>
      <c r="E73" s="10">
        <f>'январь факт'!E73+'февраль факт'!E73+'март факт'!E73</f>
        <v>0</v>
      </c>
      <c r="F73" s="14">
        <f>'январь факт'!F73+'февраль факт'!F73+'март факт'!F73</f>
        <v>248.112</v>
      </c>
    </row>
    <row r="74" spans="1:6" s="3" customFormat="1" ht="27.75" customHeight="1">
      <c r="A74" s="101" t="s">
        <v>12</v>
      </c>
      <c r="B74" s="8">
        <f t="shared" si="1"/>
        <v>0</v>
      </c>
      <c r="C74" s="10">
        <f>'январь факт'!C74+'февраль факт'!C74+'март факт'!C74</f>
        <v>0</v>
      </c>
      <c r="D74" s="10">
        <f>'январь факт'!D74+'февраль факт'!D74+'март факт'!D74</f>
        <v>0</v>
      </c>
      <c r="E74" s="10">
        <f>'январь факт'!E74+'февраль факт'!E74+'март факт'!E74</f>
        <v>0</v>
      </c>
      <c r="F74" s="14">
        <f>'январь факт'!F74+'февраль факт'!F74+'март факт'!F74</f>
        <v>0</v>
      </c>
    </row>
    <row r="75" spans="1:6" s="3" customFormat="1" ht="40.5" customHeight="1">
      <c r="A75" s="104" t="s">
        <v>42</v>
      </c>
      <c r="B75" s="8">
        <f t="shared" si="1"/>
        <v>812.913</v>
      </c>
      <c r="C75" s="8">
        <f>'январь факт'!C75+'февраль факт'!C75+'март факт'!C75</f>
        <v>0</v>
      </c>
      <c r="D75" s="8">
        <f>'январь факт'!D75+'февраль факт'!D75+'март факт'!D75</f>
        <v>0</v>
      </c>
      <c r="E75" s="8">
        <f>'январь факт'!E75+'февраль факт'!E75+'март факт'!E75</f>
        <v>64.52</v>
      </c>
      <c r="F75" s="9">
        <f>'январь факт'!F75+'февраль факт'!F75+'март факт'!F75</f>
        <v>748.393</v>
      </c>
    </row>
    <row r="76" spans="1:6" s="3" customFormat="1" ht="21" customHeight="1">
      <c r="A76" s="101" t="s">
        <v>13</v>
      </c>
      <c r="B76" s="8">
        <f t="shared" si="1"/>
        <v>240.91999999999996</v>
      </c>
      <c r="C76" s="10">
        <f>'январь факт'!C76+'февраль факт'!C76+'март факт'!C76</f>
        <v>0</v>
      </c>
      <c r="D76" s="10">
        <f>'январь факт'!D76+'февраль факт'!D76+'март факт'!D76</f>
        <v>0</v>
      </c>
      <c r="E76" s="10">
        <f>'январь факт'!E76+'февраль факт'!E76+'март факт'!E76</f>
        <v>64.52</v>
      </c>
      <c r="F76" s="14">
        <f>'январь факт'!F76+'февраль факт'!F76+'март факт'!F76</f>
        <v>176.39999999999998</v>
      </c>
    </row>
    <row r="77" spans="1:6" s="3" customFormat="1" ht="21" customHeight="1">
      <c r="A77" s="101" t="s">
        <v>10</v>
      </c>
      <c r="B77" s="8">
        <f t="shared" si="1"/>
        <v>571.9929999999999</v>
      </c>
      <c r="C77" s="10">
        <f>'январь факт'!C77+'февраль факт'!C77+'март факт'!C77</f>
        <v>0</v>
      </c>
      <c r="D77" s="10">
        <f>'январь факт'!D77+'февраль факт'!D77+'март факт'!D77</f>
        <v>0</v>
      </c>
      <c r="E77" s="10">
        <f>'январь факт'!E77+'февраль факт'!E77+'март факт'!E77</f>
        <v>0</v>
      </c>
      <c r="F77" s="14">
        <f>'январь факт'!F77+'февраль факт'!F77+'март факт'!F77</f>
        <v>571.9929999999999</v>
      </c>
    </row>
    <row r="78" spans="1:6" s="6" customFormat="1" ht="25.5" customHeight="1">
      <c r="A78" s="101" t="s">
        <v>11</v>
      </c>
      <c r="B78" s="8">
        <f t="shared" si="1"/>
        <v>0</v>
      </c>
      <c r="C78" s="10">
        <f>'январь факт'!C78+'февраль факт'!C78+'март факт'!C78</f>
        <v>0</v>
      </c>
      <c r="D78" s="10">
        <f>'январь факт'!D78+'февраль факт'!D78+'март факт'!D78</f>
        <v>0</v>
      </c>
      <c r="E78" s="10">
        <f>'январь факт'!E78+'февраль факт'!E78+'март факт'!E78</f>
        <v>0</v>
      </c>
      <c r="F78" s="14">
        <f>'январь факт'!F78+'февраль факт'!F78+'март факт'!F78</f>
        <v>0</v>
      </c>
    </row>
    <row r="79" spans="1:6" ht="21" customHeight="1">
      <c r="A79" s="101" t="s">
        <v>12</v>
      </c>
      <c r="B79" s="8">
        <f t="shared" si="1"/>
        <v>571.9929999999999</v>
      </c>
      <c r="C79" s="10">
        <f>'январь факт'!C79+'февраль факт'!C79+'март факт'!C79</f>
        <v>0</v>
      </c>
      <c r="D79" s="10">
        <f>'январь факт'!D79+'февраль факт'!D79+'март факт'!D79</f>
        <v>0</v>
      </c>
      <c r="E79" s="10">
        <f>'январь факт'!E79+'февраль факт'!E79+'март факт'!E79</f>
        <v>0</v>
      </c>
      <c r="F79" s="14">
        <f>'январь факт'!F79+'февраль факт'!F79+'март факт'!F79</f>
        <v>571.9929999999999</v>
      </c>
    </row>
    <row r="80" spans="1:8" ht="21" customHeight="1">
      <c r="A80" s="104" t="s">
        <v>21</v>
      </c>
      <c r="B80" s="8">
        <f t="shared" si="1"/>
        <v>1363.46</v>
      </c>
      <c r="C80" s="8">
        <f>'январь факт'!C80+'февраль факт'!C80+'март факт'!C80</f>
        <v>0</v>
      </c>
      <c r="D80" s="8">
        <f>'январь факт'!D80+'февраль факт'!D80+'март факт'!D80</f>
        <v>0</v>
      </c>
      <c r="E80" s="8">
        <f>'январь факт'!E80+'февраль факт'!E80+'март факт'!E80</f>
        <v>1363.46</v>
      </c>
      <c r="F80" s="9">
        <f>'январь факт'!F80+'февраль факт'!F80+'март факт'!F80</f>
        <v>0</v>
      </c>
      <c r="G80" s="24"/>
      <c r="H80" s="20"/>
    </row>
    <row r="81" spans="1:6" ht="21" customHeight="1">
      <c r="A81" s="101" t="s">
        <v>13</v>
      </c>
      <c r="B81" s="8">
        <f t="shared" si="1"/>
        <v>1363.46</v>
      </c>
      <c r="C81" s="10">
        <f>'январь факт'!C81+'февраль факт'!C81+'март факт'!C81</f>
        <v>0</v>
      </c>
      <c r="D81" s="10">
        <f>'январь факт'!D81+'февраль факт'!D81+'март факт'!D81</f>
        <v>0</v>
      </c>
      <c r="E81" s="10">
        <f>'январь факт'!E81+'февраль факт'!E81+'март факт'!E81</f>
        <v>1363.46</v>
      </c>
      <c r="F81" s="14">
        <f>'январь факт'!F81+'февраль факт'!F81+'март факт'!F81</f>
        <v>0</v>
      </c>
    </row>
    <row r="82" spans="1:6" ht="21" customHeight="1">
      <c r="A82" s="101" t="s">
        <v>10</v>
      </c>
      <c r="B82" s="8">
        <f t="shared" si="1"/>
        <v>0</v>
      </c>
      <c r="C82" s="10">
        <f>'январь факт'!C82+'февраль факт'!C82+'март факт'!C82</f>
        <v>0</v>
      </c>
      <c r="D82" s="10">
        <f>'январь факт'!D82+'февраль факт'!D82+'март факт'!D82</f>
        <v>0</v>
      </c>
      <c r="E82" s="10">
        <f>'январь факт'!E82+'февраль факт'!E82+'март факт'!E82</f>
        <v>0</v>
      </c>
      <c r="F82" s="14">
        <f>'январь факт'!F82+'февраль факт'!F82+'март факт'!F82</f>
        <v>0</v>
      </c>
    </row>
    <row r="83" spans="1:6" ht="21" customHeight="1">
      <c r="A83" s="101" t="s">
        <v>11</v>
      </c>
      <c r="B83" s="8">
        <f t="shared" si="1"/>
        <v>0</v>
      </c>
      <c r="C83" s="10">
        <f>'январь факт'!C83+'февраль факт'!C83+'март факт'!C83</f>
        <v>0</v>
      </c>
      <c r="D83" s="10">
        <f>'январь факт'!D83+'февраль факт'!D83+'март факт'!D83</f>
        <v>0</v>
      </c>
      <c r="E83" s="10">
        <f>'январь факт'!E83+'февраль факт'!E83+'март факт'!E83</f>
        <v>0</v>
      </c>
      <c r="F83" s="14">
        <f>'январь факт'!F83+'февраль факт'!F83+'март факт'!F83</f>
        <v>0</v>
      </c>
    </row>
    <row r="84" spans="1:6" ht="21" customHeight="1">
      <c r="A84" s="101" t="s">
        <v>12</v>
      </c>
      <c r="B84" s="8">
        <f t="shared" si="1"/>
        <v>0</v>
      </c>
      <c r="C84" s="10">
        <f>'январь факт'!C84+'февраль факт'!C84+'март факт'!C84</f>
        <v>0</v>
      </c>
      <c r="D84" s="10">
        <f>'январь факт'!D84+'февраль факт'!D84+'март факт'!D84</f>
        <v>0</v>
      </c>
      <c r="E84" s="10">
        <f>'январь факт'!E84+'февраль факт'!E84+'март факт'!E84</f>
        <v>0</v>
      </c>
      <c r="F84" s="14">
        <f>'январь факт'!F84+'февраль факт'!F84+'март факт'!F84</f>
        <v>0</v>
      </c>
    </row>
    <row r="85" spans="1:6" ht="21" customHeight="1">
      <c r="A85" s="104" t="s">
        <v>22</v>
      </c>
      <c r="B85" s="8">
        <f t="shared" si="1"/>
        <v>1882.3249999999998</v>
      </c>
      <c r="C85" s="8">
        <f>'январь факт'!C85+'февраль факт'!C85+'март факт'!C85</f>
        <v>0</v>
      </c>
      <c r="D85" s="8">
        <f>'январь факт'!D85+'февраль факт'!D85+'март факт'!D85</f>
        <v>0</v>
      </c>
      <c r="E85" s="8">
        <f>'январь факт'!E85+'февраль факт'!E85+'март факт'!E85</f>
        <v>1882.3249999999998</v>
      </c>
      <c r="F85" s="9">
        <f>'январь факт'!F85+'февраль факт'!F85+'март факт'!F85</f>
        <v>0</v>
      </c>
    </row>
    <row r="86" spans="1:6" ht="21" customHeight="1">
      <c r="A86" s="101" t="s">
        <v>13</v>
      </c>
      <c r="B86" s="8">
        <f t="shared" si="1"/>
        <v>1882.3249999999998</v>
      </c>
      <c r="C86" s="10">
        <f>'январь факт'!C86+'февраль факт'!C86+'март факт'!C86</f>
        <v>0</v>
      </c>
      <c r="D86" s="10">
        <f>'январь факт'!D86+'февраль факт'!D86+'март факт'!D86</f>
        <v>0</v>
      </c>
      <c r="E86" s="10">
        <f>'январь факт'!E86+'февраль факт'!E86+'март факт'!E86</f>
        <v>1882.3249999999998</v>
      </c>
      <c r="F86" s="14">
        <f>'январь факт'!F86+'февраль факт'!F86+'март факт'!F86</f>
        <v>0</v>
      </c>
    </row>
    <row r="87" spans="1:6" ht="21" customHeight="1">
      <c r="A87" s="101" t="s">
        <v>10</v>
      </c>
      <c r="B87" s="8">
        <f t="shared" si="1"/>
        <v>0</v>
      </c>
      <c r="C87" s="10">
        <f>'январь факт'!C87+'февраль факт'!C87+'март факт'!C87</f>
        <v>0</v>
      </c>
      <c r="D87" s="10">
        <f>'январь факт'!D87+'февраль факт'!D87+'март факт'!D87</f>
        <v>0</v>
      </c>
      <c r="E87" s="10">
        <f>'январь факт'!E87+'февраль факт'!E87+'март факт'!E87</f>
        <v>0</v>
      </c>
      <c r="F87" s="14">
        <f>'январь факт'!F87+'февраль факт'!F87+'март факт'!F87</f>
        <v>0</v>
      </c>
    </row>
    <row r="88" spans="1:6" ht="21" customHeight="1">
      <c r="A88" s="101" t="s">
        <v>11</v>
      </c>
      <c r="B88" s="8">
        <f t="shared" si="1"/>
        <v>0</v>
      </c>
      <c r="C88" s="10">
        <f>'январь факт'!C88+'февраль факт'!C88+'март факт'!C88</f>
        <v>0</v>
      </c>
      <c r="D88" s="10">
        <f>'январь факт'!D88+'февраль факт'!D88+'март факт'!D88</f>
        <v>0</v>
      </c>
      <c r="E88" s="10">
        <f>'январь факт'!E88+'февраль факт'!E88+'март факт'!E88</f>
        <v>0</v>
      </c>
      <c r="F88" s="14">
        <f>'январь факт'!F88+'февраль факт'!F88+'март факт'!F88</f>
        <v>0</v>
      </c>
    </row>
    <row r="89" spans="1:6" ht="21" customHeight="1">
      <c r="A89" s="101" t="s">
        <v>12</v>
      </c>
      <c r="B89" s="8">
        <f t="shared" si="1"/>
        <v>0</v>
      </c>
      <c r="C89" s="10">
        <f>'январь факт'!C89+'февраль факт'!C89+'март факт'!C89</f>
        <v>0</v>
      </c>
      <c r="D89" s="10">
        <f>'январь факт'!D89+'февраль факт'!D89+'март факт'!D89</f>
        <v>0</v>
      </c>
      <c r="E89" s="10">
        <f>'январь факт'!E89+'февраль факт'!E89+'март факт'!E89</f>
        <v>0</v>
      </c>
      <c r="F89" s="14">
        <f>'январь факт'!F89+'февраль факт'!F89+'март факт'!F89</f>
        <v>0</v>
      </c>
    </row>
    <row r="90" spans="1:6" ht="37.5" customHeight="1">
      <c r="A90" s="104" t="s">
        <v>49</v>
      </c>
      <c r="B90" s="8">
        <f t="shared" si="1"/>
        <v>0</v>
      </c>
      <c r="C90" s="8">
        <f>'январь факт'!C90+'февраль факт'!C90+'март факт'!C90</f>
        <v>0</v>
      </c>
      <c r="D90" s="8">
        <f>'январь факт'!D90+'февраль факт'!D90+'март факт'!D90</f>
        <v>0</v>
      </c>
      <c r="E90" s="8">
        <f>'январь факт'!E90+'февраль факт'!E90+'март факт'!E90</f>
        <v>0</v>
      </c>
      <c r="F90" s="9">
        <f>'январь факт'!F90+'февраль факт'!F90+'март факт'!F90</f>
        <v>0</v>
      </c>
    </row>
    <row r="91" spans="1:6" ht="21" customHeight="1">
      <c r="A91" s="101" t="s">
        <v>13</v>
      </c>
      <c r="B91" s="8">
        <f t="shared" si="1"/>
        <v>0</v>
      </c>
      <c r="C91" s="10">
        <f>'январь факт'!C91+'февраль факт'!C91+'март факт'!C91</f>
        <v>0</v>
      </c>
      <c r="D91" s="10">
        <f>'январь факт'!D91+'февраль факт'!D91+'март факт'!D91</f>
        <v>0</v>
      </c>
      <c r="E91" s="10">
        <f>'январь факт'!E91+'февраль факт'!E91+'март факт'!E91</f>
        <v>0</v>
      </c>
      <c r="F91" s="14">
        <f>'январь факт'!F91+'февраль факт'!F91+'март факт'!F91</f>
        <v>0</v>
      </c>
    </row>
    <row r="92" spans="1:6" ht="21" customHeight="1">
      <c r="A92" s="101" t="s">
        <v>10</v>
      </c>
      <c r="B92" s="8">
        <f t="shared" si="1"/>
        <v>0</v>
      </c>
      <c r="C92" s="10">
        <f>'январь факт'!C92+'февраль факт'!C92+'март факт'!C92</f>
        <v>0</v>
      </c>
      <c r="D92" s="10">
        <f>'январь факт'!D92+'февраль факт'!D92+'март факт'!D92</f>
        <v>0</v>
      </c>
      <c r="E92" s="10">
        <f>'январь факт'!E92+'февраль факт'!E92+'март факт'!E92</f>
        <v>0</v>
      </c>
      <c r="F92" s="14">
        <f>'январь факт'!F92+'февраль факт'!F92+'март факт'!F92</f>
        <v>0</v>
      </c>
    </row>
    <row r="93" spans="1:6" ht="21" customHeight="1">
      <c r="A93" s="101" t="s">
        <v>11</v>
      </c>
      <c r="B93" s="8">
        <f t="shared" si="1"/>
        <v>0</v>
      </c>
      <c r="C93" s="10">
        <f>'январь факт'!C93+'февраль факт'!C93+'март факт'!C93</f>
        <v>0</v>
      </c>
      <c r="D93" s="10">
        <f>'январь факт'!D93+'февраль факт'!D93+'март факт'!D93</f>
        <v>0</v>
      </c>
      <c r="E93" s="10">
        <f>'январь факт'!E93+'февраль факт'!E93+'март факт'!E93</f>
        <v>0</v>
      </c>
      <c r="F93" s="14">
        <f>'январь факт'!F93+'февраль факт'!F93+'март факт'!F93</f>
        <v>0</v>
      </c>
    </row>
    <row r="94" spans="1:6" ht="21" customHeight="1">
      <c r="A94" s="101" t="s">
        <v>12</v>
      </c>
      <c r="B94" s="8">
        <f t="shared" si="1"/>
        <v>0</v>
      </c>
      <c r="C94" s="10">
        <f>'январь факт'!C94+'февраль факт'!C94+'март факт'!C94</f>
        <v>0</v>
      </c>
      <c r="D94" s="10">
        <f>'январь факт'!D94+'февраль факт'!D94+'март факт'!D94</f>
        <v>0</v>
      </c>
      <c r="E94" s="10">
        <f>'январь факт'!E94+'февраль факт'!E94+'март факт'!E94</f>
        <v>0</v>
      </c>
      <c r="F94" s="14">
        <f>'январь факт'!F94+'февраль факт'!F94+'март факт'!F94</f>
        <v>0</v>
      </c>
    </row>
    <row r="95" spans="1:6" ht="21" customHeight="1">
      <c r="A95" s="104" t="s">
        <v>8</v>
      </c>
      <c r="B95" s="8">
        <f t="shared" si="1"/>
        <v>5651.057000000001</v>
      </c>
      <c r="C95" s="8">
        <f>'январь факт'!C95+'февраль факт'!C95+'март факт'!C95</f>
        <v>0</v>
      </c>
      <c r="D95" s="8">
        <f>'январь факт'!D95+'февраль факт'!D95+'март факт'!D95</f>
        <v>0</v>
      </c>
      <c r="E95" s="8">
        <f>'январь факт'!E95+'февраль факт'!E95+'март факт'!E95</f>
        <v>2957.109</v>
      </c>
      <c r="F95" s="9">
        <f>'январь факт'!F95+'февраль факт'!F95+'март факт'!F95</f>
        <v>2693.9480000000003</v>
      </c>
    </row>
    <row r="96" spans="1:6" ht="21" customHeight="1">
      <c r="A96" s="101" t="s">
        <v>13</v>
      </c>
      <c r="B96" s="8">
        <f t="shared" si="1"/>
        <v>3177.947</v>
      </c>
      <c r="C96" s="10">
        <f>'январь факт'!C96+'февраль факт'!C96+'март факт'!C96</f>
        <v>0</v>
      </c>
      <c r="D96" s="10">
        <f>'январь факт'!D96+'февраль факт'!D96+'март факт'!D96</f>
        <v>0</v>
      </c>
      <c r="E96" s="10">
        <f>'январь факт'!E96+'февраль факт'!E96+'март факт'!E96</f>
        <v>2440.841</v>
      </c>
      <c r="F96" s="14">
        <f>'январь факт'!F96+'февраль факт'!F96+'март факт'!F96</f>
        <v>737.106</v>
      </c>
    </row>
    <row r="97" spans="1:6" ht="21" customHeight="1">
      <c r="A97" s="101" t="s">
        <v>10</v>
      </c>
      <c r="B97" s="8">
        <f t="shared" si="1"/>
        <v>2473.11</v>
      </c>
      <c r="C97" s="10">
        <f>'январь факт'!C97+'февраль факт'!C97+'март факт'!C97</f>
        <v>0</v>
      </c>
      <c r="D97" s="10">
        <f>'январь факт'!D97+'февраль факт'!D97+'март факт'!D97</f>
        <v>0</v>
      </c>
      <c r="E97" s="10">
        <f>'январь факт'!E97+'февраль факт'!E97+'март факт'!E97</f>
        <v>516.268</v>
      </c>
      <c r="F97" s="14">
        <f>'январь факт'!F97+'февраль факт'!F97+'март факт'!F97</f>
        <v>1956.842</v>
      </c>
    </row>
    <row r="98" spans="1:6" ht="21" customHeight="1">
      <c r="A98" s="101" t="s">
        <v>11</v>
      </c>
      <c r="B98" s="8">
        <f t="shared" si="1"/>
        <v>2116.686</v>
      </c>
      <c r="C98" s="10">
        <f>'январь факт'!C98+'февраль факт'!C98+'март факт'!C98</f>
        <v>0</v>
      </c>
      <c r="D98" s="10">
        <f>'январь факт'!D98+'февраль факт'!D98+'март факт'!D98</f>
        <v>0</v>
      </c>
      <c r="E98" s="10">
        <f>'январь факт'!E98+'февраль факт'!E98+'март факт'!E98</f>
        <v>509.148</v>
      </c>
      <c r="F98" s="14">
        <f>'январь факт'!F98+'февраль факт'!F98+'март факт'!F98</f>
        <v>1607.5380000000002</v>
      </c>
    </row>
    <row r="99" spans="1:6" ht="21" customHeight="1">
      <c r="A99" s="101" t="s">
        <v>12</v>
      </c>
      <c r="B99" s="8">
        <f t="shared" si="1"/>
        <v>356.424</v>
      </c>
      <c r="C99" s="10">
        <f>'январь факт'!C99+'февраль факт'!C99+'март факт'!C99</f>
        <v>0</v>
      </c>
      <c r="D99" s="10">
        <f>'январь факт'!D99+'февраль факт'!D99+'март факт'!D99</f>
        <v>0</v>
      </c>
      <c r="E99" s="10">
        <f>'январь факт'!E99+'февраль факт'!E99+'март факт'!E99</f>
        <v>7.12</v>
      </c>
      <c r="F99" s="14">
        <f>'январь факт'!F99+'февраль факт'!F99+'март факт'!F99</f>
        <v>349.304</v>
      </c>
    </row>
    <row r="100" spans="1:6" ht="21" customHeight="1">
      <c r="A100" s="104" t="s">
        <v>5</v>
      </c>
      <c r="B100" s="8">
        <f t="shared" si="1"/>
        <v>10736.652999999998</v>
      </c>
      <c r="C100" s="8">
        <f>'январь факт'!C100+'февраль факт'!C100+'март факт'!C100</f>
        <v>1128.1009999999999</v>
      </c>
      <c r="D100" s="8">
        <f>'январь факт'!D100+'февраль факт'!D100+'март факт'!D100</f>
        <v>0</v>
      </c>
      <c r="E100" s="8">
        <f>'январь факт'!E100+'февраль факт'!E100+'март факт'!E100</f>
        <v>6749.705</v>
      </c>
      <c r="F100" s="9">
        <f>'январь факт'!F100+'февраль факт'!F100+'март факт'!F100</f>
        <v>2858.8469999999998</v>
      </c>
    </row>
    <row r="101" spans="1:6" ht="18.75">
      <c r="A101" s="101" t="s">
        <v>13</v>
      </c>
      <c r="B101" s="8">
        <f t="shared" si="1"/>
        <v>7208.153</v>
      </c>
      <c r="C101" s="10">
        <f>'январь факт'!C101+'февраль факт'!C101+'март факт'!C101</f>
        <v>1128.1009999999999</v>
      </c>
      <c r="D101" s="10">
        <f>'январь факт'!D101+'февраль факт'!D101+'март факт'!D101</f>
        <v>0</v>
      </c>
      <c r="E101" s="10">
        <f>'январь факт'!E101+'февраль факт'!E101+'март факт'!E101</f>
        <v>5112.435</v>
      </c>
      <c r="F101" s="14">
        <f>'январь факт'!F101+'февраль факт'!F101+'март факт'!F101</f>
        <v>967.6170000000001</v>
      </c>
    </row>
    <row r="102" spans="1:6" ht="18.75">
      <c r="A102" s="101" t="s">
        <v>10</v>
      </c>
      <c r="B102" s="8">
        <f t="shared" si="1"/>
        <v>3528.5</v>
      </c>
      <c r="C102" s="10">
        <f>'январь факт'!C102+'февраль факт'!C102+'март факт'!C102</f>
        <v>0</v>
      </c>
      <c r="D102" s="10">
        <f>'январь факт'!D102+'февраль факт'!D102+'март факт'!D102</f>
        <v>0</v>
      </c>
      <c r="E102" s="10">
        <f>'январь факт'!E102+'февраль факт'!E102+'март факт'!E102</f>
        <v>1637.27</v>
      </c>
      <c r="F102" s="14">
        <f>'январь факт'!F102+'февраль факт'!F102+'март факт'!F102</f>
        <v>1891.23</v>
      </c>
    </row>
    <row r="103" spans="1:6" ht="18.75">
      <c r="A103" s="101" t="s">
        <v>11</v>
      </c>
      <c r="B103" s="8">
        <f t="shared" si="1"/>
        <v>3484.5110000000004</v>
      </c>
      <c r="C103" s="10">
        <f>'январь факт'!C103+'февраль факт'!C103+'март факт'!C103</f>
        <v>0</v>
      </c>
      <c r="D103" s="10">
        <f>'январь факт'!D103+'февраль факт'!D103+'март факт'!D103</f>
        <v>0</v>
      </c>
      <c r="E103" s="10">
        <f>'январь факт'!E103+'февраль факт'!E103+'март факт'!E103</f>
        <v>1593.2810000000002</v>
      </c>
      <c r="F103" s="14">
        <f>'январь факт'!F103+'февраль факт'!F103+'март факт'!F103</f>
        <v>1891.23</v>
      </c>
    </row>
    <row r="104" spans="1:6" ht="18.75">
      <c r="A104" s="101" t="s">
        <v>12</v>
      </c>
      <c r="B104" s="8">
        <f t="shared" si="1"/>
        <v>43.989000000000004</v>
      </c>
      <c r="C104" s="10">
        <f>'январь факт'!C104+'февраль факт'!C104+'март факт'!C104</f>
        <v>0</v>
      </c>
      <c r="D104" s="10">
        <f>'январь факт'!D104+'февраль факт'!D104+'март факт'!D104</f>
        <v>0</v>
      </c>
      <c r="E104" s="10">
        <f>'январь факт'!E104+'февраль факт'!E104+'март факт'!E104</f>
        <v>43.989000000000004</v>
      </c>
      <c r="F104" s="14">
        <f>'январь факт'!F104+'февраль факт'!F104+'март факт'!F104</f>
        <v>0</v>
      </c>
    </row>
    <row r="105" spans="1:6" ht="36">
      <c r="A105" s="104" t="s">
        <v>43</v>
      </c>
      <c r="B105" s="8">
        <f t="shared" si="1"/>
        <v>19813.78</v>
      </c>
      <c r="C105" s="8">
        <f>'январь факт'!C105+'февраль факт'!C105+'март факт'!C105</f>
        <v>0</v>
      </c>
      <c r="D105" s="8">
        <f>'январь факт'!D105+'февраль факт'!D105+'март факт'!D105</f>
        <v>0</v>
      </c>
      <c r="E105" s="8">
        <f>'январь факт'!E105+'февраль факт'!E105+'март факт'!E105</f>
        <v>4662.271</v>
      </c>
      <c r="F105" s="9">
        <f>'январь факт'!F105+'февраль факт'!F105+'март факт'!F105</f>
        <v>15151.509</v>
      </c>
    </row>
    <row r="106" spans="1:6" ht="18.75">
      <c r="A106" s="101" t="s">
        <v>13</v>
      </c>
      <c r="B106" s="8">
        <f t="shared" si="1"/>
        <v>9804.092</v>
      </c>
      <c r="C106" s="10">
        <f>'январь факт'!C106+'февраль факт'!C106+'март факт'!C106</f>
        <v>0</v>
      </c>
      <c r="D106" s="10">
        <f>'январь факт'!D106+'февраль факт'!D106+'март факт'!D106</f>
        <v>0</v>
      </c>
      <c r="E106" s="14">
        <f>'январь факт'!E106+'февраль факт'!E106+'март факт'!E106</f>
        <v>4501.684</v>
      </c>
      <c r="F106" s="14">
        <f>'январь факт'!F106+'февраль факт'!F106+'март факт'!F106</f>
        <v>5302.407999999999</v>
      </c>
    </row>
    <row r="107" spans="1:6" ht="18.75">
      <c r="A107" s="101" t="s">
        <v>10</v>
      </c>
      <c r="B107" s="8">
        <f t="shared" si="1"/>
        <v>13063.593</v>
      </c>
      <c r="C107" s="10">
        <f>'январь факт'!C107+'февраль факт'!C107+'март факт'!C107</f>
        <v>0</v>
      </c>
      <c r="D107" s="10">
        <f>'январь факт'!D107+'февраль факт'!D107+'март факт'!D107</f>
        <v>0</v>
      </c>
      <c r="E107" s="10">
        <f>'январь факт'!E107+'февраль факт'!E107+'март факт'!E105</f>
        <v>1619.136</v>
      </c>
      <c r="F107" s="14">
        <f>'январь факт'!F107+'февраль факт'!F107+'март факт'!F105</f>
        <v>11444.457</v>
      </c>
    </row>
    <row r="108" spans="1:6" ht="18.75">
      <c r="A108" s="101" t="s">
        <v>11</v>
      </c>
      <c r="B108" s="8">
        <f t="shared" si="1"/>
        <v>4073.435</v>
      </c>
      <c r="C108" s="10">
        <f>'январь факт'!C108+'февраль факт'!C108+'март факт'!C108</f>
        <v>0</v>
      </c>
      <c r="D108" s="10">
        <f>'январь факт'!D108+'февраль факт'!D108+'март факт'!D108</f>
        <v>0</v>
      </c>
      <c r="E108" s="10">
        <f>'январь факт'!E108+'февраль факт'!E108+'март факт'!E106</f>
        <v>1503.074</v>
      </c>
      <c r="F108" s="14">
        <f>'январь факт'!F108+'февраль факт'!F108+'март факт'!F106</f>
        <v>2570.361</v>
      </c>
    </row>
    <row r="109" spans="1:6" ht="19.5" thickBot="1">
      <c r="A109" s="102" t="s">
        <v>12</v>
      </c>
      <c r="B109" s="19">
        <f t="shared" si="1"/>
        <v>8990.158</v>
      </c>
      <c r="C109" s="21">
        <f>'январь факт'!C109+'февраль факт'!C109+'март факт'!C109</f>
        <v>0</v>
      </c>
      <c r="D109" s="21">
        <f>'январь факт'!D109+'февраль факт'!D109+'март факт'!D109</f>
        <v>0</v>
      </c>
      <c r="E109" s="21">
        <f>'январь факт'!E109+'февраль факт'!E109+'март факт'!E107</f>
        <v>116.06200000000001</v>
      </c>
      <c r="F109" s="22">
        <f>'январь факт'!F109+'февраль факт'!F109+'март факт'!F107</f>
        <v>8874.096</v>
      </c>
    </row>
    <row r="110" ht="13.5" thickBot="1"/>
    <row r="111" spans="1:6" ht="31.5" customHeight="1" thickBot="1">
      <c r="A111" s="26" t="s">
        <v>50</v>
      </c>
      <c r="B111" s="113">
        <f>C111+D111+E111+F111</f>
        <v>396801.20899999986</v>
      </c>
      <c r="C111" s="118">
        <f>C105+C100+C95+C90+C85+C80+C75+C70+C65+C60+C55+C50+C45+C40+C35+C30+C25+C20+C15+C10+C5</f>
        <v>153209.54499999998</v>
      </c>
      <c r="D111" s="118">
        <f>D105+D100+D95+D90+D85+D80+D75+D70+D65+D60+D55+D50+D45+D40+D35+D30+D25+D20+D15+D10+D5</f>
        <v>6924.238</v>
      </c>
      <c r="E111" s="118">
        <f>E105+E100+E95+E90+E85+E80+E75+E70+E65+E60+E55+E50+E45+E40+E35+E30+E25+E20+E15+E10+E5</f>
        <v>104470.62299999999</v>
      </c>
      <c r="F111" s="118">
        <f>F105+F100+F95+F90+F85+F80+F75+F70+F65+F60+F55+F50+F45+F40+F35+F30+F25+F20+F15+F10+F5</f>
        <v>132196.8029999999</v>
      </c>
    </row>
    <row r="114" ht="20.25">
      <c r="B114" s="122"/>
    </row>
  </sheetData>
  <sheetProtection/>
  <mergeCells count="2">
    <mergeCell ref="A1:F1"/>
    <mergeCell ref="A2:F2"/>
  </mergeCells>
  <printOptions horizontalCentered="1"/>
  <pageMargins left="0.03937007874015748" right="0.03937007874015748" top="0.3937007874015748" bottom="0.03937007874015748" header="0.5118110236220472" footer="0.5118110236220472"/>
  <pageSetup fitToHeight="1" fitToWidth="1" horizontalDpi="600" verticalDpi="600" orientation="portrait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zoomScale="60" zoomScaleNormal="60" zoomScalePageLayoutView="0" workbookViewId="0" topLeftCell="A1">
      <pane xSplit="1" ySplit="4" topLeftCell="B6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03" sqref="E103"/>
    </sheetView>
  </sheetViews>
  <sheetFormatPr defaultColWidth="9.00390625" defaultRowHeight="12.75"/>
  <cols>
    <col min="1" max="1" width="62.75390625" style="0" customWidth="1"/>
    <col min="2" max="6" width="25.25390625" style="0" customWidth="1"/>
    <col min="7" max="7" width="11.75390625" style="0" customWidth="1"/>
    <col min="8" max="8" width="27.00390625" style="0" customWidth="1"/>
  </cols>
  <sheetData>
    <row r="1" spans="1:8" s="36" customFormat="1" ht="47.25" customHeight="1">
      <c r="A1" s="185" t="s">
        <v>29</v>
      </c>
      <c r="B1" s="185"/>
      <c r="C1" s="185"/>
      <c r="D1" s="185"/>
      <c r="E1" s="185"/>
      <c r="F1" s="185"/>
      <c r="H1" s="25"/>
    </row>
    <row r="2" spans="1:8" s="37" customFormat="1" ht="23.25">
      <c r="A2" s="186" t="s">
        <v>53</v>
      </c>
      <c r="B2" s="186"/>
      <c r="C2" s="186"/>
      <c r="D2" s="188"/>
      <c r="E2" s="188"/>
      <c r="F2" s="188"/>
      <c r="H2" s="25"/>
    </row>
    <row r="3" spans="6:8" s="3" customFormat="1" ht="18.75" thickBot="1">
      <c r="F3" s="56" t="s">
        <v>28</v>
      </c>
      <c r="H3" s="25"/>
    </row>
    <row r="4" spans="1:8" s="1" customFormat="1" ht="29.25" customHeight="1" thickBot="1">
      <c r="A4" s="38" t="s">
        <v>17</v>
      </c>
      <c r="B4" s="53"/>
      <c r="C4" s="42" t="s">
        <v>0</v>
      </c>
      <c r="D4" s="42" t="s">
        <v>1</v>
      </c>
      <c r="E4" s="42" t="s">
        <v>2</v>
      </c>
      <c r="F4" s="43" t="s">
        <v>3</v>
      </c>
      <c r="H4" s="25"/>
    </row>
    <row r="5" spans="1:8" s="2" customFormat="1" ht="27" customHeight="1">
      <c r="A5" s="103" t="s">
        <v>35</v>
      </c>
      <c r="B5" s="28">
        <f>C5+D5+E5+F5</f>
        <v>78556.704</v>
      </c>
      <c r="C5" s="74">
        <f>C6+C7</f>
        <v>31961.021</v>
      </c>
      <c r="D5" s="74">
        <f>D6+D7</f>
        <v>1420.913</v>
      </c>
      <c r="E5" s="74">
        <f>E6+E7</f>
        <v>19643.085</v>
      </c>
      <c r="F5" s="75">
        <f>F6+F7</f>
        <v>25531.685</v>
      </c>
      <c r="H5" s="25"/>
    </row>
    <row r="6" spans="1:8" s="2" customFormat="1" ht="26.25" customHeight="1">
      <c r="A6" s="101" t="s">
        <v>13</v>
      </c>
      <c r="B6" s="8">
        <f aca="true" t="shared" si="0" ref="B6:B54">C6+D6+E6+F6</f>
        <v>62555.732</v>
      </c>
      <c r="C6" s="8">
        <f>31961.021-C7</f>
        <v>31919.011000000002</v>
      </c>
      <c r="D6" s="8">
        <f>1420.913-D7</f>
        <v>1419.423</v>
      </c>
      <c r="E6" s="8">
        <f>19643.085-E7</f>
        <v>18755.968999999997</v>
      </c>
      <c r="F6" s="9">
        <f>25531.685-F7</f>
        <v>10461.329000000002</v>
      </c>
      <c r="H6" s="123"/>
    </row>
    <row r="7" spans="1:8" s="2" customFormat="1" ht="17.25" customHeight="1">
      <c r="A7" s="101" t="s">
        <v>10</v>
      </c>
      <c r="B7" s="8">
        <f t="shared" si="0"/>
        <v>16000.972</v>
      </c>
      <c r="C7" s="17">
        <f>C8+C9</f>
        <v>42.01</v>
      </c>
      <c r="D7" s="17">
        <f>D8+D9</f>
        <v>1.49</v>
      </c>
      <c r="E7" s="17">
        <f>E8+E9</f>
        <v>887.116</v>
      </c>
      <c r="F7" s="18">
        <f>F8+F9</f>
        <v>15070.356</v>
      </c>
      <c r="H7" s="123"/>
    </row>
    <row r="8" spans="1:8" s="2" customFormat="1" ht="17.25" customHeight="1">
      <c r="A8" s="101" t="s">
        <v>11</v>
      </c>
      <c r="B8" s="8">
        <f t="shared" si="0"/>
        <v>4658.049</v>
      </c>
      <c r="C8" s="70">
        <f>13.035+8.563</f>
        <v>21.598</v>
      </c>
      <c r="D8" s="70"/>
      <c r="E8" s="70">
        <v>192.768</v>
      </c>
      <c r="F8" s="71">
        <v>4443.683</v>
      </c>
      <c r="H8" s="25"/>
    </row>
    <row r="9" spans="1:8" s="2" customFormat="1" ht="27.75" customHeight="1">
      <c r="A9" s="101" t="s">
        <v>12</v>
      </c>
      <c r="B9" s="8">
        <f t="shared" si="0"/>
        <v>11342.923</v>
      </c>
      <c r="C9" s="70">
        <v>20.412</v>
      </c>
      <c r="D9" s="70">
        <v>1.49</v>
      </c>
      <c r="E9" s="70">
        <v>694.348</v>
      </c>
      <c r="F9" s="71">
        <v>10626.673</v>
      </c>
      <c r="H9" s="25"/>
    </row>
    <row r="10" spans="1:8" s="2" customFormat="1" ht="19.5" customHeight="1">
      <c r="A10" s="104" t="s">
        <v>36</v>
      </c>
      <c r="B10" s="8">
        <f t="shared" si="0"/>
        <v>5860.09</v>
      </c>
      <c r="C10" s="17">
        <f>C11+C12</f>
        <v>928.94</v>
      </c>
      <c r="D10" s="17"/>
      <c r="E10" s="17">
        <f>E11+E12</f>
        <v>2067.7180000000003</v>
      </c>
      <c r="F10" s="18">
        <f>F11+F12</f>
        <v>2863.432</v>
      </c>
      <c r="H10" s="25"/>
    </row>
    <row r="11" spans="1:8" s="2" customFormat="1" ht="18" customHeight="1">
      <c r="A11" s="101" t="s">
        <v>13</v>
      </c>
      <c r="B11" s="8">
        <f t="shared" si="0"/>
        <v>3727.1099999999997</v>
      </c>
      <c r="C11" s="8">
        <v>825.88</v>
      </c>
      <c r="D11" s="8"/>
      <c r="E11" s="8">
        <v>1759.544</v>
      </c>
      <c r="F11" s="9">
        <v>1141.686</v>
      </c>
      <c r="H11" s="25"/>
    </row>
    <row r="12" spans="1:8" s="2" customFormat="1" ht="19.5" customHeight="1">
      <c r="A12" s="101" t="s">
        <v>10</v>
      </c>
      <c r="B12" s="8">
        <f t="shared" si="0"/>
        <v>2132.98</v>
      </c>
      <c r="C12" s="17">
        <f>C13+C14</f>
        <v>103.06</v>
      </c>
      <c r="D12" s="8"/>
      <c r="E12" s="17">
        <f>E13+E14</f>
        <v>308.17400000000004</v>
      </c>
      <c r="F12" s="18">
        <f>F13+F14</f>
        <v>1721.7459999999999</v>
      </c>
      <c r="H12" s="4"/>
    </row>
    <row r="13" spans="1:8" s="2" customFormat="1" ht="19.5" customHeight="1">
      <c r="A13" s="101" t="s">
        <v>11</v>
      </c>
      <c r="B13" s="8">
        <f t="shared" si="0"/>
        <v>1239.321</v>
      </c>
      <c r="C13" s="70"/>
      <c r="D13" s="70"/>
      <c r="E13" s="70">
        <v>55.683</v>
      </c>
      <c r="F13" s="71">
        <v>1183.638</v>
      </c>
      <c r="H13" s="4"/>
    </row>
    <row r="14" spans="1:8" s="2" customFormat="1" ht="22.5" customHeight="1">
      <c r="A14" s="101" t="s">
        <v>12</v>
      </c>
      <c r="B14" s="8">
        <f t="shared" si="0"/>
        <v>893.659</v>
      </c>
      <c r="C14" s="70">
        <v>103.06</v>
      </c>
      <c r="D14" s="70"/>
      <c r="E14" s="70">
        <v>252.491</v>
      </c>
      <c r="F14" s="71">
        <v>538.108</v>
      </c>
      <c r="H14" s="4"/>
    </row>
    <row r="15" spans="1:8" s="2" customFormat="1" ht="21.75" customHeight="1">
      <c r="A15" s="104" t="s">
        <v>6</v>
      </c>
      <c r="B15" s="8">
        <f t="shared" si="0"/>
        <v>1184.7169999999999</v>
      </c>
      <c r="C15" s="17">
        <f>C16+C17</f>
        <v>1184.7169999999999</v>
      </c>
      <c r="D15" s="8"/>
      <c r="E15" s="8"/>
      <c r="F15" s="9"/>
      <c r="H15" s="4"/>
    </row>
    <row r="16" spans="1:8" s="2" customFormat="1" ht="21" customHeight="1">
      <c r="A16" s="101" t="s">
        <v>13</v>
      </c>
      <c r="B16" s="8">
        <f t="shared" si="0"/>
        <v>1184.388</v>
      </c>
      <c r="C16" s="8">
        <v>1184.388</v>
      </c>
      <c r="D16" s="8"/>
      <c r="E16" s="17"/>
      <c r="F16" s="18"/>
      <c r="H16" s="4"/>
    </row>
    <row r="17" spans="1:8" s="2" customFormat="1" ht="21.75" customHeight="1">
      <c r="A17" s="101" t="s">
        <v>10</v>
      </c>
      <c r="B17" s="8">
        <f t="shared" si="0"/>
        <v>0.329</v>
      </c>
      <c r="C17" s="17">
        <f>C18+C19</f>
        <v>0.329</v>
      </c>
      <c r="D17" s="8"/>
      <c r="E17" s="17"/>
      <c r="F17" s="18"/>
      <c r="H17" s="4"/>
    </row>
    <row r="18" spans="1:8" s="2" customFormat="1" ht="21" customHeight="1">
      <c r="A18" s="101" t="s">
        <v>11</v>
      </c>
      <c r="B18" s="8">
        <f t="shared" si="0"/>
        <v>0.329</v>
      </c>
      <c r="C18" s="70">
        <v>0.329</v>
      </c>
      <c r="D18" s="70"/>
      <c r="E18" s="70"/>
      <c r="F18" s="71"/>
      <c r="H18" s="4"/>
    </row>
    <row r="19" spans="1:8" s="2" customFormat="1" ht="24.75" customHeight="1">
      <c r="A19" s="101" t="s">
        <v>12</v>
      </c>
      <c r="B19" s="8">
        <f t="shared" si="0"/>
        <v>0</v>
      </c>
      <c r="C19" s="70"/>
      <c r="D19" s="70"/>
      <c r="E19" s="70"/>
      <c r="F19" s="71"/>
      <c r="H19" s="4"/>
    </row>
    <row r="20" spans="1:8" s="2" customFormat="1" ht="38.25" customHeight="1">
      <c r="A20" s="104" t="s">
        <v>37</v>
      </c>
      <c r="B20" s="8">
        <f t="shared" si="0"/>
        <v>3430.594</v>
      </c>
      <c r="C20" s="17">
        <f>C21+C22</f>
        <v>2623.038</v>
      </c>
      <c r="D20" s="17">
        <f>D21+D22</f>
        <v>625.985</v>
      </c>
      <c r="E20" s="17">
        <f>E21+E22</f>
        <v>108.284</v>
      </c>
      <c r="F20" s="18">
        <f>F21+F22</f>
        <v>73.28699999999999</v>
      </c>
      <c r="H20" s="4"/>
    </row>
    <row r="21" spans="1:8" s="2" customFormat="1" ht="24.75" customHeight="1">
      <c r="A21" s="101" t="s">
        <v>13</v>
      </c>
      <c r="B21" s="8">
        <f t="shared" si="0"/>
        <v>3414.668</v>
      </c>
      <c r="C21" s="88">
        <v>2623.038</v>
      </c>
      <c r="D21" s="88">
        <v>625.985</v>
      </c>
      <c r="E21" s="88">
        <v>108.284</v>
      </c>
      <c r="F21" s="89">
        <v>57.361</v>
      </c>
      <c r="H21" s="4"/>
    </row>
    <row r="22" spans="1:8" s="2" customFormat="1" ht="25.5" customHeight="1">
      <c r="A22" s="101" t="s">
        <v>10</v>
      </c>
      <c r="B22" s="8">
        <f t="shared" si="0"/>
        <v>15.926</v>
      </c>
      <c r="C22" s="8"/>
      <c r="D22" s="8"/>
      <c r="E22" s="17">
        <f>E23+E24</f>
        <v>0</v>
      </c>
      <c r="F22" s="18">
        <f>F23+F24</f>
        <v>15.926</v>
      </c>
      <c r="H22" s="4"/>
    </row>
    <row r="23" spans="1:8" s="2" customFormat="1" ht="20.25" customHeight="1">
      <c r="A23" s="101" t="s">
        <v>11</v>
      </c>
      <c r="B23" s="8">
        <f t="shared" si="0"/>
        <v>15.926</v>
      </c>
      <c r="C23" s="70"/>
      <c r="D23" s="70"/>
      <c r="E23" s="70"/>
      <c r="F23" s="71">
        <v>15.926</v>
      </c>
      <c r="H23" s="4"/>
    </row>
    <row r="24" spans="1:8" s="2" customFormat="1" ht="21.75" customHeight="1">
      <c r="A24" s="101" t="s">
        <v>12</v>
      </c>
      <c r="B24" s="8">
        <f t="shared" si="0"/>
        <v>0</v>
      </c>
      <c r="C24" s="70"/>
      <c r="D24" s="70"/>
      <c r="E24" s="70"/>
      <c r="F24" s="71"/>
      <c r="H24" s="4"/>
    </row>
    <row r="25" spans="1:8" s="2" customFormat="1" ht="37.5" customHeight="1">
      <c r="A25" s="104" t="s">
        <v>7</v>
      </c>
      <c r="B25" s="8">
        <f>C25+D25+E25+F25</f>
        <v>12523.7</v>
      </c>
      <c r="C25" s="17">
        <f>C26+C27</f>
        <v>6999.31</v>
      </c>
      <c r="D25" s="17">
        <f>D26+D27</f>
        <v>0</v>
      </c>
      <c r="E25" s="17">
        <f>E26+E27</f>
        <v>1949.895</v>
      </c>
      <c r="F25" s="18">
        <f>F26+F27</f>
        <v>3574.495</v>
      </c>
      <c r="H25" s="4"/>
    </row>
    <row r="26" spans="1:8" s="2" customFormat="1" ht="24.75" customHeight="1">
      <c r="A26" s="101" t="s">
        <v>13</v>
      </c>
      <c r="B26" s="8">
        <f t="shared" si="0"/>
        <v>10071.981000000002</v>
      </c>
      <c r="C26" s="8">
        <f>6999.31-C27</f>
        <v>6999.31</v>
      </c>
      <c r="D26" s="8"/>
      <c r="E26" s="17">
        <v>1886.285</v>
      </c>
      <c r="F26" s="18">
        <v>1186.386</v>
      </c>
      <c r="H26" s="4"/>
    </row>
    <row r="27" spans="1:8" s="2" customFormat="1" ht="25.5" customHeight="1">
      <c r="A27" s="101" t="s">
        <v>10</v>
      </c>
      <c r="B27" s="8">
        <f t="shared" si="0"/>
        <v>2451.719</v>
      </c>
      <c r="C27" s="8"/>
      <c r="D27" s="8"/>
      <c r="E27" s="18">
        <f>E28+E29</f>
        <v>63.61</v>
      </c>
      <c r="F27" s="18">
        <f>F28+F29</f>
        <v>2388.109</v>
      </c>
      <c r="H27" s="4"/>
    </row>
    <row r="28" spans="1:8" s="2" customFormat="1" ht="23.25" customHeight="1">
      <c r="A28" s="101" t="s">
        <v>11</v>
      </c>
      <c r="B28" s="8">
        <f t="shared" si="0"/>
        <v>2421.022</v>
      </c>
      <c r="C28" s="70"/>
      <c r="D28" s="70"/>
      <c r="E28" s="70">
        <v>63.61</v>
      </c>
      <c r="F28" s="71">
        <f>2264.723+92.689</f>
        <v>2357.412</v>
      </c>
      <c r="H28" s="4"/>
    </row>
    <row r="29" spans="1:6" s="2" customFormat="1" ht="23.25" customHeight="1">
      <c r="A29" s="101" t="s">
        <v>12</v>
      </c>
      <c r="B29" s="8">
        <f t="shared" si="0"/>
        <v>30.697</v>
      </c>
      <c r="C29" s="70"/>
      <c r="D29" s="70"/>
      <c r="E29" s="70"/>
      <c r="F29" s="71">
        <v>30.697</v>
      </c>
    </row>
    <row r="30" spans="1:6" s="2" customFormat="1" ht="23.25" customHeight="1">
      <c r="A30" s="104" t="s">
        <v>38</v>
      </c>
      <c r="B30" s="8">
        <f t="shared" si="0"/>
        <v>107.315</v>
      </c>
      <c r="C30" s="17"/>
      <c r="D30" s="17"/>
      <c r="E30" s="17">
        <f>E31+E32</f>
        <v>69.451</v>
      </c>
      <c r="F30" s="18">
        <f>F31+F32</f>
        <v>37.864000000000004</v>
      </c>
    </row>
    <row r="31" spans="1:6" s="2" customFormat="1" ht="23.25" customHeight="1">
      <c r="A31" s="101" t="s">
        <v>13</v>
      </c>
      <c r="B31" s="8">
        <f t="shared" si="0"/>
        <v>86.88399999999999</v>
      </c>
      <c r="C31" s="8"/>
      <c r="D31" s="8"/>
      <c r="E31" s="17">
        <v>69.451</v>
      </c>
      <c r="F31" s="18">
        <v>17.433</v>
      </c>
    </row>
    <row r="32" spans="1:6" s="2" customFormat="1" ht="42" customHeight="1">
      <c r="A32" s="101" t="s">
        <v>10</v>
      </c>
      <c r="B32" s="8">
        <f t="shared" si="0"/>
        <v>20.431</v>
      </c>
      <c r="C32" s="8"/>
      <c r="D32" s="8"/>
      <c r="E32" s="17">
        <f>E33+E34</f>
        <v>0</v>
      </c>
      <c r="F32" s="18">
        <f>F33+F34</f>
        <v>20.431</v>
      </c>
    </row>
    <row r="33" spans="1:6" s="2" customFormat="1" ht="19.5" customHeight="1">
      <c r="A33" s="101" t="s">
        <v>11</v>
      </c>
      <c r="B33" s="8">
        <f t="shared" si="0"/>
        <v>16.134</v>
      </c>
      <c r="C33" s="70"/>
      <c r="D33" s="70"/>
      <c r="E33" s="70"/>
      <c r="F33" s="71">
        <v>16.134</v>
      </c>
    </row>
    <row r="34" spans="1:6" s="2" customFormat="1" ht="19.5" customHeight="1">
      <c r="A34" s="101" t="s">
        <v>12</v>
      </c>
      <c r="B34" s="8">
        <f t="shared" si="0"/>
        <v>4.297</v>
      </c>
      <c r="C34" s="70"/>
      <c r="D34" s="70"/>
      <c r="E34" s="70"/>
      <c r="F34" s="71">
        <v>4.297</v>
      </c>
    </row>
    <row r="35" spans="1:6" s="2" customFormat="1" ht="19.5" customHeight="1">
      <c r="A35" s="104" t="s">
        <v>39</v>
      </c>
      <c r="B35" s="8">
        <f t="shared" si="0"/>
        <v>165.89</v>
      </c>
      <c r="C35" s="17">
        <f>C36+C37</f>
        <v>0</v>
      </c>
      <c r="D35" s="72"/>
      <c r="E35" s="17">
        <f>E36+E37</f>
        <v>0</v>
      </c>
      <c r="F35" s="18">
        <f>F36+F37</f>
        <v>165.89</v>
      </c>
    </row>
    <row r="36" spans="1:6" s="2" customFormat="1" ht="19.5" customHeight="1">
      <c r="A36" s="101" t="s">
        <v>13</v>
      </c>
      <c r="B36" s="8">
        <f t="shared" si="0"/>
        <v>152.944</v>
      </c>
      <c r="C36" s="8"/>
      <c r="D36" s="8"/>
      <c r="E36" s="8"/>
      <c r="F36" s="9">
        <v>152.944</v>
      </c>
    </row>
    <row r="37" spans="1:6" s="2" customFormat="1" ht="24.75" customHeight="1">
      <c r="A37" s="101" t="s">
        <v>10</v>
      </c>
      <c r="B37" s="8">
        <f t="shared" si="0"/>
        <v>12.946</v>
      </c>
      <c r="C37" s="17">
        <f>C38+C39</f>
        <v>0</v>
      </c>
      <c r="D37" s="8"/>
      <c r="E37" s="17"/>
      <c r="F37" s="18">
        <f>F38+F39</f>
        <v>12.946</v>
      </c>
    </row>
    <row r="38" spans="1:6" s="2" customFormat="1" ht="24.75" customHeight="1">
      <c r="A38" s="101" t="s">
        <v>11</v>
      </c>
      <c r="B38" s="8">
        <f t="shared" si="0"/>
        <v>0</v>
      </c>
      <c r="C38" s="72"/>
      <c r="D38" s="72"/>
      <c r="E38" s="72"/>
      <c r="F38" s="12"/>
    </row>
    <row r="39" spans="1:6" s="2" customFormat="1" ht="24.75" customHeight="1">
      <c r="A39" s="101" t="s">
        <v>12</v>
      </c>
      <c r="B39" s="8">
        <f t="shared" si="0"/>
        <v>12.946</v>
      </c>
      <c r="C39" s="72"/>
      <c r="D39" s="72"/>
      <c r="E39" s="72"/>
      <c r="F39" s="12">
        <v>12.946</v>
      </c>
    </row>
    <row r="40" spans="1:6" s="2" customFormat="1" ht="24.75" customHeight="1">
      <c r="A40" s="104" t="s">
        <v>24</v>
      </c>
      <c r="B40" s="8">
        <f t="shared" si="0"/>
        <v>0</v>
      </c>
      <c r="C40" s="72">
        <f>C41+C42</f>
        <v>0</v>
      </c>
      <c r="D40" s="72"/>
      <c r="E40" s="72">
        <f>E41+E42</f>
        <v>0</v>
      </c>
      <c r="F40" s="18"/>
    </row>
    <row r="41" spans="1:6" s="2" customFormat="1" ht="24.75" customHeight="1">
      <c r="A41" s="101" t="s">
        <v>13</v>
      </c>
      <c r="B41" s="8">
        <f t="shared" si="0"/>
        <v>0</v>
      </c>
      <c r="C41" s="8"/>
      <c r="D41" s="8"/>
      <c r="E41" s="8"/>
      <c r="F41" s="9"/>
    </row>
    <row r="42" spans="1:6" s="2" customFormat="1" ht="24.75" customHeight="1">
      <c r="A42" s="101" t="s">
        <v>10</v>
      </c>
      <c r="B42" s="8">
        <f t="shared" si="0"/>
        <v>0</v>
      </c>
      <c r="C42" s="8"/>
      <c r="D42" s="8"/>
      <c r="E42" s="17">
        <f>E43+E44</f>
        <v>0</v>
      </c>
      <c r="F42" s="18">
        <f>F43+F44</f>
        <v>0</v>
      </c>
    </row>
    <row r="43" spans="1:6" s="2" customFormat="1" ht="24.75" customHeight="1">
      <c r="A43" s="101" t="s">
        <v>11</v>
      </c>
      <c r="B43" s="8">
        <f t="shared" si="0"/>
        <v>0</v>
      </c>
      <c r="C43" s="72"/>
      <c r="D43" s="72"/>
      <c r="E43" s="72"/>
      <c r="F43" s="12"/>
    </row>
    <row r="44" spans="1:6" s="2" customFormat="1" ht="24.75" customHeight="1">
      <c r="A44" s="101" t="s">
        <v>12</v>
      </c>
      <c r="B44" s="8">
        <f t="shared" si="0"/>
        <v>0</v>
      </c>
      <c r="C44" s="72"/>
      <c r="D44" s="72"/>
      <c r="E44" s="72"/>
      <c r="F44" s="12"/>
    </row>
    <row r="45" spans="1:6" s="2" customFormat="1" ht="24.75" customHeight="1">
      <c r="A45" s="81" t="s">
        <v>26</v>
      </c>
      <c r="B45" s="8">
        <f t="shared" si="0"/>
        <v>447.36699999999996</v>
      </c>
      <c r="C45" s="10"/>
      <c r="D45" s="8"/>
      <c r="E45" s="8">
        <f>E46+E47</f>
        <v>319.32</v>
      </c>
      <c r="F45" s="9">
        <f>F46+F47</f>
        <v>128.047</v>
      </c>
    </row>
    <row r="46" spans="1:8" s="2" customFormat="1" ht="24.75" customHeight="1">
      <c r="A46" s="101" t="s">
        <v>13</v>
      </c>
      <c r="B46" s="8">
        <f t="shared" si="0"/>
        <v>447.36699999999996</v>
      </c>
      <c r="C46" s="8"/>
      <c r="D46" s="8"/>
      <c r="E46" s="17">
        <v>319.32</v>
      </c>
      <c r="F46" s="18">
        <v>128.047</v>
      </c>
      <c r="G46" s="54"/>
      <c r="H46" s="52"/>
    </row>
    <row r="47" spans="1:6" s="2" customFormat="1" ht="21.75" customHeight="1">
      <c r="A47" s="101" t="s">
        <v>10</v>
      </c>
      <c r="B47" s="8">
        <f t="shared" si="0"/>
        <v>0</v>
      </c>
      <c r="C47" s="8"/>
      <c r="D47" s="8"/>
      <c r="E47" s="17">
        <f>E48+E49</f>
        <v>0</v>
      </c>
      <c r="F47" s="18">
        <f>F48+F49</f>
        <v>0</v>
      </c>
    </row>
    <row r="48" spans="1:6" s="2" customFormat="1" ht="26.25" customHeight="1">
      <c r="A48" s="101" t="s">
        <v>11</v>
      </c>
      <c r="B48" s="8">
        <f t="shared" si="0"/>
        <v>0</v>
      </c>
      <c r="C48" s="10"/>
      <c r="D48" s="8"/>
      <c r="E48" s="10"/>
      <c r="F48" s="14"/>
    </row>
    <row r="49" spans="1:6" s="2" customFormat="1" ht="26.25" customHeight="1">
      <c r="A49" s="101" t="s">
        <v>12</v>
      </c>
      <c r="B49" s="8">
        <f t="shared" si="0"/>
        <v>0</v>
      </c>
      <c r="C49" s="10"/>
      <c r="D49" s="8"/>
      <c r="E49" s="10"/>
      <c r="F49" s="14"/>
    </row>
    <row r="50" spans="1:6" s="2" customFormat="1" ht="26.25" customHeight="1">
      <c r="A50" s="81" t="s">
        <v>4</v>
      </c>
      <c r="B50" s="8">
        <f t="shared" si="0"/>
        <v>783.514</v>
      </c>
      <c r="C50" s="8">
        <f>C51+C52+C58</f>
        <v>783.514</v>
      </c>
      <c r="D50" s="8"/>
      <c r="E50" s="8"/>
      <c r="F50" s="9"/>
    </row>
    <row r="51" spans="1:6" s="2" customFormat="1" ht="26.25" customHeight="1">
      <c r="A51" s="101" t="s">
        <v>13</v>
      </c>
      <c r="B51" s="8">
        <f t="shared" si="0"/>
        <v>783.514</v>
      </c>
      <c r="C51" s="17">
        <f>783.514-C52</f>
        <v>783.514</v>
      </c>
      <c r="D51" s="8"/>
      <c r="E51" s="17"/>
      <c r="F51" s="18"/>
    </row>
    <row r="52" spans="1:6" s="2" customFormat="1" ht="21.75" customHeight="1">
      <c r="A52" s="101" t="s">
        <v>10</v>
      </c>
      <c r="B52" s="8">
        <f t="shared" si="0"/>
        <v>0</v>
      </c>
      <c r="C52" s="17">
        <v>0</v>
      </c>
      <c r="D52" s="8"/>
      <c r="E52" s="17">
        <v>0</v>
      </c>
      <c r="F52" s="18">
        <v>0</v>
      </c>
    </row>
    <row r="53" spans="1:6" s="2" customFormat="1" ht="18" customHeight="1">
      <c r="A53" s="101" t="s">
        <v>11</v>
      </c>
      <c r="B53" s="8">
        <f t="shared" si="0"/>
        <v>0</v>
      </c>
      <c r="C53" s="70"/>
      <c r="D53" s="8"/>
      <c r="E53" s="8"/>
      <c r="F53" s="9"/>
    </row>
    <row r="54" spans="1:6" s="2" customFormat="1" ht="19.5" customHeight="1">
      <c r="A54" s="101" t="s">
        <v>12</v>
      </c>
      <c r="B54" s="8">
        <f t="shared" si="0"/>
        <v>0</v>
      </c>
      <c r="C54" s="70"/>
      <c r="D54" s="8"/>
      <c r="E54" s="8"/>
      <c r="F54" s="9"/>
    </row>
    <row r="55" spans="1:6" s="2" customFormat="1" ht="33" customHeight="1">
      <c r="A55" s="104" t="s">
        <v>40</v>
      </c>
      <c r="B55" s="8">
        <f>C55+D55+E55+F55</f>
        <v>1933.8210000000001</v>
      </c>
      <c r="C55" s="8">
        <f>C56+C57</f>
        <v>1099.314</v>
      </c>
      <c r="D55" s="8">
        <f>D56+D57</f>
        <v>0</v>
      </c>
      <c r="E55" s="8">
        <f>E56+E57</f>
        <v>404.575</v>
      </c>
      <c r="F55" s="8">
        <f>F56+F57</f>
        <v>429.932</v>
      </c>
    </row>
    <row r="56" spans="1:6" s="3" customFormat="1" ht="20.25" customHeight="1">
      <c r="A56" s="101" t="s">
        <v>13</v>
      </c>
      <c r="B56" s="8">
        <f>F56+E56+D56+C56</f>
        <v>1625.738</v>
      </c>
      <c r="C56" s="17">
        <v>1099.314</v>
      </c>
      <c r="D56" s="17"/>
      <c r="E56" s="17">
        <v>404.575</v>
      </c>
      <c r="F56" s="18">
        <v>121.849</v>
      </c>
    </row>
    <row r="57" spans="1:6" s="3" customFormat="1" ht="27.75" customHeight="1">
      <c r="A57" s="101" t="s">
        <v>10</v>
      </c>
      <c r="B57" s="8">
        <f aca="true" t="shared" si="1" ref="B57:B109">C57+D57+E57+F57</f>
        <v>308.083</v>
      </c>
      <c r="C57" s="17">
        <v>0</v>
      </c>
      <c r="D57" s="17">
        <v>0</v>
      </c>
      <c r="E57" s="17">
        <v>0</v>
      </c>
      <c r="F57" s="18">
        <f>F58+F59</f>
        <v>308.083</v>
      </c>
    </row>
    <row r="58" spans="1:6" s="3" customFormat="1" ht="27.75" customHeight="1">
      <c r="A58" s="101" t="s">
        <v>11</v>
      </c>
      <c r="B58" s="8">
        <f t="shared" si="1"/>
        <v>284.346</v>
      </c>
      <c r="C58" s="70"/>
      <c r="D58" s="8"/>
      <c r="E58" s="8"/>
      <c r="F58" s="9">
        <v>284.346</v>
      </c>
    </row>
    <row r="59" spans="1:6" s="3" customFormat="1" ht="27.75" customHeight="1">
      <c r="A59" s="101" t="s">
        <v>12</v>
      </c>
      <c r="B59" s="8">
        <f t="shared" si="1"/>
        <v>23.737</v>
      </c>
      <c r="C59" s="70"/>
      <c r="D59" s="8"/>
      <c r="E59" s="8"/>
      <c r="F59" s="9">
        <v>23.737</v>
      </c>
    </row>
    <row r="60" spans="1:6" s="3" customFormat="1" ht="24.75" customHeight="1">
      <c r="A60" s="104" t="s">
        <v>25</v>
      </c>
      <c r="B60" s="8">
        <f t="shared" si="1"/>
        <v>1951.612</v>
      </c>
      <c r="C60" s="8">
        <f>C61+C62+C64</f>
        <v>1938.422</v>
      </c>
      <c r="D60" s="8"/>
      <c r="E60" s="8">
        <f>E61+E64</f>
        <v>0</v>
      </c>
      <c r="F60" s="9">
        <f>F61+F64</f>
        <v>13.19</v>
      </c>
    </row>
    <row r="61" spans="1:6" s="3" customFormat="1" ht="18.75">
      <c r="A61" s="101" t="s">
        <v>13</v>
      </c>
      <c r="B61" s="8">
        <f t="shared" si="1"/>
        <v>1951.612</v>
      </c>
      <c r="C61" s="17">
        <f>1938.422-C62</f>
        <v>1938.422</v>
      </c>
      <c r="D61" s="17"/>
      <c r="E61" s="17"/>
      <c r="F61" s="18">
        <v>13.19</v>
      </c>
    </row>
    <row r="62" spans="1:6" s="6" customFormat="1" ht="25.5" customHeight="1">
      <c r="A62" s="101" t="s">
        <v>10</v>
      </c>
      <c r="B62" s="8">
        <f t="shared" si="1"/>
        <v>0</v>
      </c>
      <c r="C62" s="70"/>
      <c r="D62" s="8"/>
      <c r="E62" s="8">
        <v>0</v>
      </c>
      <c r="F62" s="9">
        <v>0</v>
      </c>
    </row>
    <row r="63" spans="1:6" s="3" customFormat="1" ht="18.75">
      <c r="A63" s="101" t="s">
        <v>11</v>
      </c>
      <c r="B63" s="8">
        <f t="shared" si="1"/>
        <v>0</v>
      </c>
      <c r="C63" s="70"/>
      <c r="D63" s="8"/>
      <c r="E63" s="10"/>
      <c r="F63" s="14"/>
    </row>
    <row r="64" spans="1:6" s="3" customFormat="1" ht="18.75">
      <c r="A64" s="101" t="s">
        <v>12</v>
      </c>
      <c r="B64" s="8">
        <f t="shared" si="1"/>
        <v>0</v>
      </c>
      <c r="C64" s="70"/>
      <c r="D64" s="8"/>
      <c r="E64" s="10"/>
      <c r="F64" s="14"/>
    </row>
    <row r="65" spans="1:6" s="3" customFormat="1" ht="18">
      <c r="A65" s="104" t="s">
        <v>41</v>
      </c>
      <c r="B65" s="8">
        <f t="shared" si="1"/>
        <v>18.594</v>
      </c>
      <c r="C65" s="8">
        <f>C66+C67</f>
        <v>0</v>
      </c>
      <c r="D65" s="8"/>
      <c r="E65" s="8">
        <f>E66+E67</f>
        <v>18.594</v>
      </c>
      <c r="F65" s="9">
        <f>F66+F67</f>
        <v>0</v>
      </c>
    </row>
    <row r="66" spans="1:6" s="3" customFormat="1" ht="18.75">
      <c r="A66" s="101" t="s">
        <v>13</v>
      </c>
      <c r="B66" s="8">
        <f t="shared" si="1"/>
        <v>18.594</v>
      </c>
      <c r="C66" s="82"/>
      <c r="D66" s="82"/>
      <c r="E66" s="82">
        <v>18.594</v>
      </c>
      <c r="F66" s="83"/>
    </row>
    <row r="67" spans="1:6" s="3" customFormat="1" ht="18.75">
      <c r="A67" s="101" t="s">
        <v>10</v>
      </c>
      <c r="B67" s="8">
        <f t="shared" si="1"/>
        <v>0</v>
      </c>
      <c r="C67" s="70"/>
      <c r="D67" s="8"/>
      <c r="E67" s="8">
        <f>E69+E68</f>
        <v>0</v>
      </c>
      <c r="F67" s="9">
        <f>F69+F68</f>
        <v>0</v>
      </c>
    </row>
    <row r="68" spans="1:6" s="3" customFormat="1" ht="18.75">
      <c r="A68" s="101" t="s">
        <v>11</v>
      </c>
      <c r="B68" s="8">
        <f t="shared" si="1"/>
        <v>0</v>
      </c>
      <c r="C68" s="70"/>
      <c r="D68" s="8"/>
      <c r="E68" s="10"/>
      <c r="F68" s="14"/>
    </row>
    <row r="69" spans="1:6" s="3" customFormat="1" ht="18.75">
      <c r="A69" s="101" t="s">
        <v>12</v>
      </c>
      <c r="B69" s="8">
        <f t="shared" si="1"/>
        <v>0</v>
      </c>
      <c r="C69" s="70"/>
      <c r="D69" s="8"/>
      <c r="E69" s="10"/>
      <c r="F69" s="14"/>
    </row>
    <row r="70" spans="1:6" s="3" customFormat="1" ht="36">
      <c r="A70" s="104" t="s">
        <v>23</v>
      </c>
      <c r="B70" s="8">
        <f t="shared" si="1"/>
        <v>88.574</v>
      </c>
      <c r="C70" s="70"/>
      <c r="D70" s="8"/>
      <c r="E70" s="8">
        <f>E71+E72</f>
        <v>0</v>
      </c>
      <c r="F70" s="9">
        <f>F71+F72</f>
        <v>88.574</v>
      </c>
    </row>
    <row r="71" spans="1:6" s="3" customFormat="1" ht="18.75">
      <c r="A71" s="101" t="s">
        <v>13</v>
      </c>
      <c r="B71" s="8">
        <f t="shared" si="1"/>
        <v>9.976</v>
      </c>
      <c r="C71" s="70"/>
      <c r="D71" s="8"/>
      <c r="E71" s="8"/>
      <c r="F71" s="84">
        <v>9.976</v>
      </c>
    </row>
    <row r="72" spans="1:6" s="3" customFormat="1" ht="18.75">
      <c r="A72" s="101" t="s">
        <v>10</v>
      </c>
      <c r="B72" s="8">
        <f t="shared" si="1"/>
        <v>78.598</v>
      </c>
      <c r="C72" s="70"/>
      <c r="D72" s="8"/>
      <c r="E72" s="8">
        <f>E74+E73</f>
        <v>0</v>
      </c>
      <c r="F72" s="9">
        <f>F74+F73</f>
        <v>78.598</v>
      </c>
    </row>
    <row r="73" spans="1:6" s="3" customFormat="1" ht="18.75">
      <c r="A73" s="101" t="s">
        <v>11</v>
      </c>
      <c r="B73" s="8">
        <f t="shared" si="1"/>
        <v>78.598</v>
      </c>
      <c r="C73" s="70"/>
      <c r="D73" s="8"/>
      <c r="E73" s="10"/>
      <c r="F73" s="14">
        <v>78.598</v>
      </c>
    </row>
    <row r="74" spans="1:6" s="3" customFormat="1" ht="18.75">
      <c r="A74" s="101" t="s">
        <v>12</v>
      </c>
      <c r="B74" s="8">
        <f t="shared" si="1"/>
        <v>0</v>
      </c>
      <c r="C74" s="70"/>
      <c r="D74" s="8"/>
      <c r="E74" s="10"/>
      <c r="F74" s="14"/>
    </row>
    <row r="75" spans="1:6" s="3" customFormat="1" ht="36">
      <c r="A75" s="104" t="s">
        <v>42</v>
      </c>
      <c r="B75" s="8">
        <f t="shared" si="1"/>
        <v>211.621</v>
      </c>
      <c r="C75" s="70"/>
      <c r="D75" s="8"/>
      <c r="E75" s="8">
        <f>E76+E77</f>
        <v>12.787</v>
      </c>
      <c r="F75" s="9">
        <f>F76+F77</f>
        <v>198.834</v>
      </c>
    </row>
    <row r="76" spans="1:6" s="3" customFormat="1" ht="18.75">
      <c r="A76" s="101" t="s">
        <v>13</v>
      </c>
      <c r="B76" s="8">
        <f t="shared" si="1"/>
        <v>55.053</v>
      </c>
      <c r="C76" s="70"/>
      <c r="D76" s="8"/>
      <c r="E76" s="90">
        <v>12.787</v>
      </c>
      <c r="F76" s="84">
        <v>42.266</v>
      </c>
    </row>
    <row r="77" spans="1:6" s="3" customFormat="1" ht="18.75">
      <c r="A77" s="101" t="s">
        <v>10</v>
      </c>
      <c r="B77" s="8">
        <f t="shared" si="1"/>
        <v>156.568</v>
      </c>
      <c r="C77" s="70"/>
      <c r="D77" s="8"/>
      <c r="E77" s="8">
        <f>E79+E78</f>
        <v>0</v>
      </c>
      <c r="F77" s="9">
        <f>F79+F78</f>
        <v>156.568</v>
      </c>
    </row>
    <row r="78" spans="1:6" s="3" customFormat="1" ht="18.75">
      <c r="A78" s="101" t="s">
        <v>11</v>
      </c>
      <c r="B78" s="8">
        <f t="shared" si="1"/>
        <v>0</v>
      </c>
      <c r="C78" s="70"/>
      <c r="D78" s="8"/>
      <c r="E78" s="8"/>
      <c r="F78" s="9"/>
    </row>
    <row r="79" spans="1:6" s="3" customFormat="1" ht="18.75">
      <c r="A79" s="101" t="s">
        <v>12</v>
      </c>
      <c r="B79" s="8">
        <f t="shared" si="1"/>
        <v>156.568</v>
      </c>
      <c r="C79" s="70"/>
      <c r="D79" s="8"/>
      <c r="E79" s="8"/>
      <c r="F79" s="14">
        <v>156.568</v>
      </c>
    </row>
    <row r="80" spans="1:6" s="3" customFormat="1" ht="18">
      <c r="A80" s="104" t="s">
        <v>21</v>
      </c>
      <c r="B80" s="8">
        <f t="shared" si="1"/>
        <v>396.114</v>
      </c>
      <c r="C80" s="8">
        <f>C81+C82</f>
        <v>0</v>
      </c>
      <c r="D80" s="8"/>
      <c r="E80" s="8">
        <f>E81+E82</f>
        <v>396.114</v>
      </c>
      <c r="F80" s="9">
        <f>F81+F82</f>
        <v>0</v>
      </c>
    </row>
    <row r="81" spans="1:6" s="3" customFormat="1" ht="18.75">
      <c r="A81" s="101" t="s">
        <v>13</v>
      </c>
      <c r="B81" s="8">
        <f t="shared" si="1"/>
        <v>396.114</v>
      </c>
      <c r="C81" s="82"/>
      <c r="D81" s="82"/>
      <c r="E81" s="82">
        <v>396.114</v>
      </c>
      <c r="F81" s="83"/>
    </row>
    <row r="82" spans="1:6" s="3" customFormat="1" ht="18.75">
      <c r="A82" s="101" t="s">
        <v>10</v>
      </c>
      <c r="B82" s="8">
        <f t="shared" si="1"/>
        <v>0</v>
      </c>
      <c r="C82" s="70"/>
      <c r="D82" s="8"/>
      <c r="E82" s="8">
        <f>E84+E83</f>
        <v>0</v>
      </c>
      <c r="F82" s="9">
        <f>F84+F83</f>
        <v>0</v>
      </c>
    </row>
    <row r="83" spans="1:6" s="3" customFormat="1" ht="18.75">
      <c r="A83" s="101" t="s">
        <v>11</v>
      </c>
      <c r="B83" s="8">
        <f t="shared" si="1"/>
        <v>0</v>
      </c>
      <c r="C83" s="70"/>
      <c r="D83" s="8"/>
      <c r="E83" s="10"/>
      <c r="F83" s="14"/>
    </row>
    <row r="84" spans="1:6" s="3" customFormat="1" ht="18.75">
      <c r="A84" s="101" t="s">
        <v>12</v>
      </c>
      <c r="B84" s="8">
        <f t="shared" si="1"/>
        <v>0</v>
      </c>
      <c r="C84" s="70"/>
      <c r="D84" s="8"/>
      <c r="E84" s="10"/>
      <c r="F84" s="14"/>
    </row>
    <row r="85" spans="1:6" s="3" customFormat="1" ht="18">
      <c r="A85" s="104" t="s">
        <v>22</v>
      </c>
      <c r="B85" s="8">
        <f t="shared" si="1"/>
        <v>493.69</v>
      </c>
      <c r="C85" s="70"/>
      <c r="D85" s="8"/>
      <c r="E85" s="8">
        <f>E86+E87</f>
        <v>493.69</v>
      </c>
      <c r="F85" s="9">
        <f>F86+F87</f>
        <v>0</v>
      </c>
    </row>
    <row r="86" spans="1:6" s="3" customFormat="1" ht="18.75">
      <c r="A86" s="101" t="s">
        <v>13</v>
      </c>
      <c r="B86" s="8">
        <f t="shared" si="1"/>
        <v>493.69</v>
      </c>
      <c r="C86" s="70"/>
      <c r="D86" s="8"/>
      <c r="E86" s="8">
        <v>493.69</v>
      </c>
      <c r="F86" s="84"/>
    </row>
    <row r="87" spans="1:6" s="3" customFormat="1" ht="18.75">
      <c r="A87" s="101" t="s">
        <v>10</v>
      </c>
      <c r="B87" s="8">
        <f t="shared" si="1"/>
        <v>0</v>
      </c>
      <c r="C87" s="70"/>
      <c r="D87" s="8"/>
      <c r="E87" s="8">
        <f>E89+E88</f>
        <v>0</v>
      </c>
      <c r="F87" s="9">
        <f>F89+F88</f>
        <v>0</v>
      </c>
    </row>
    <row r="88" spans="1:8" s="3" customFormat="1" ht="18.75">
      <c r="A88" s="101" t="s">
        <v>11</v>
      </c>
      <c r="B88" s="8">
        <f t="shared" si="1"/>
        <v>0</v>
      </c>
      <c r="C88" s="70"/>
      <c r="D88" s="8"/>
      <c r="E88" s="10"/>
      <c r="F88" s="14"/>
      <c r="H88" s="25"/>
    </row>
    <row r="89" spans="1:8" s="3" customFormat="1" ht="18.75">
      <c r="A89" s="101" t="s">
        <v>12</v>
      </c>
      <c r="B89" s="8">
        <f t="shared" si="1"/>
        <v>0</v>
      </c>
      <c r="C89" s="70"/>
      <c r="D89" s="8"/>
      <c r="E89" s="10"/>
      <c r="F89" s="14"/>
      <c r="H89" s="25"/>
    </row>
    <row r="90" spans="1:8" s="3" customFormat="1" ht="18">
      <c r="A90" s="104" t="s">
        <v>49</v>
      </c>
      <c r="B90" s="8">
        <f t="shared" si="1"/>
        <v>0</v>
      </c>
      <c r="C90" s="70"/>
      <c r="D90" s="8"/>
      <c r="E90" s="8">
        <f>E91+E92</f>
        <v>0</v>
      </c>
      <c r="F90" s="9">
        <f>F91+F92</f>
        <v>0</v>
      </c>
      <c r="H90" s="25"/>
    </row>
    <row r="91" spans="1:8" s="3" customFormat="1" ht="18.75">
      <c r="A91" s="101" t="s">
        <v>13</v>
      </c>
      <c r="B91" s="8">
        <f t="shared" si="1"/>
        <v>0</v>
      </c>
      <c r="C91" s="70"/>
      <c r="D91" s="8"/>
      <c r="E91" s="8"/>
      <c r="F91" s="84"/>
      <c r="H91" s="25"/>
    </row>
    <row r="92" spans="1:8" s="3" customFormat="1" ht="18.75">
      <c r="A92" s="101" t="s">
        <v>10</v>
      </c>
      <c r="B92" s="8">
        <f t="shared" si="1"/>
        <v>0</v>
      </c>
      <c r="C92" s="70"/>
      <c r="D92" s="8"/>
      <c r="E92" s="8">
        <f>E94+E93</f>
        <v>0</v>
      </c>
      <c r="F92" s="9">
        <f>F94+F93</f>
        <v>0</v>
      </c>
      <c r="H92" s="25"/>
    </row>
    <row r="93" spans="1:8" s="3" customFormat="1" ht="18.75">
      <c r="A93" s="101" t="s">
        <v>11</v>
      </c>
      <c r="B93" s="8">
        <f t="shared" si="1"/>
        <v>0</v>
      </c>
      <c r="C93" s="70"/>
      <c r="D93" s="8"/>
      <c r="E93" s="8"/>
      <c r="F93" s="9"/>
      <c r="H93" s="25"/>
    </row>
    <row r="94" spans="1:8" s="3" customFormat="1" ht="18.75">
      <c r="A94" s="101" t="s">
        <v>12</v>
      </c>
      <c r="B94" s="8">
        <f t="shared" si="1"/>
        <v>0</v>
      </c>
      <c r="C94" s="70"/>
      <c r="D94" s="8"/>
      <c r="E94" s="8"/>
      <c r="F94" s="9"/>
      <c r="H94" s="25"/>
    </row>
    <row r="95" spans="1:8" s="3" customFormat="1" ht="18">
      <c r="A95" s="104" t="s">
        <v>8</v>
      </c>
      <c r="B95" s="8">
        <f t="shared" si="1"/>
        <v>1556.429</v>
      </c>
      <c r="C95" s="17"/>
      <c r="D95" s="8"/>
      <c r="E95" s="17">
        <f>E96+E97</f>
        <v>763.3249999999999</v>
      </c>
      <c r="F95" s="18">
        <f>F96+F97</f>
        <v>793.104</v>
      </c>
      <c r="H95" s="25"/>
    </row>
    <row r="96" spans="1:8" s="3" customFormat="1" ht="18.75">
      <c r="A96" s="101" t="s">
        <v>13</v>
      </c>
      <c r="B96" s="8">
        <f t="shared" si="1"/>
        <v>874.4849999999999</v>
      </c>
      <c r="C96" s="8"/>
      <c r="D96" s="8"/>
      <c r="E96" s="17">
        <v>680.132</v>
      </c>
      <c r="F96" s="18">
        <v>194.353</v>
      </c>
      <c r="H96" s="25"/>
    </row>
    <row r="97" spans="1:8" s="3" customFormat="1" ht="18.75">
      <c r="A97" s="101" t="s">
        <v>10</v>
      </c>
      <c r="B97" s="8">
        <f t="shared" si="1"/>
        <v>681.9440000000001</v>
      </c>
      <c r="C97" s="8"/>
      <c r="D97" s="8"/>
      <c r="E97" s="17">
        <f>E98+E99</f>
        <v>83.193</v>
      </c>
      <c r="F97" s="18">
        <f>F98+F99</f>
        <v>598.7510000000001</v>
      </c>
      <c r="H97" s="25"/>
    </row>
    <row r="98" spans="1:8" s="3" customFormat="1" ht="18.75">
      <c r="A98" s="101" t="s">
        <v>11</v>
      </c>
      <c r="B98" s="8">
        <f t="shared" si="1"/>
        <v>584.642</v>
      </c>
      <c r="C98" s="8"/>
      <c r="D98" s="8"/>
      <c r="E98" s="70">
        <f>8.24+72.577</f>
        <v>80.817</v>
      </c>
      <c r="F98" s="71">
        <f>51.6+452.225</f>
        <v>503.82500000000005</v>
      </c>
      <c r="H98" s="25"/>
    </row>
    <row r="99" spans="1:8" s="3" customFormat="1" ht="18.75">
      <c r="A99" s="101" t="s">
        <v>12</v>
      </c>
      <c r="B99" s="8">
        <f t="shared" si="1"/>
        <v>97.302</v>
      </c>
      <c r="C99" s="8"/>
      <c r="D99" s="8"/>
      <c r="E99" s="70">
        <v>2.376</v>
      </c>
      <c r="F99" s="71">
        <v>94.926</v>
      </c>
      <c r="H99" s="25"/>
    </row>
    <row r="100" spans="1:8" s="3" customFormat="1" ht="18">
      <c r="A100" s="104" t="s">
        <v>5</v>
      </c>
      <c r="B100" s="8">
        <f t="shared" si="1"/>
        <v>3071.9480000000003</v>
      </c>
      <c r="C100" s="17">
        <f>C101</f>
        <v>334.064</v>
      </c>
      <c r="D100" s="8"/>
      <c r="E100" s="17">
        <f>E101+E102</f>
        <v>1851.144</v>
      </c>
      <c r="F100" s="17">
        <f>F101+F102</f>
        <v>886.74</v>
      </c>
      <c r="H100" s="59"/>
    </row>
    <row r="101" spans="1:8" s="3" customFormat="1" ht="18.75">
      <c r="A101" s="101" t="s">
        <v>13</v>
      </c>
      <c r="B101" s="8">
        <f t="shared" si="1"/>
        <v>2036.7430000000002</v>
      </c>
      <c r="C101" s="17">
        <v>334.064</v>
      </c>
      <c r="D101" s="8"/>
      <c r="E101" s="17">
        <v>1378.942</v>
      </c>
      <c r="F101" s="18">
        <v>323.737</v>
      </c>
      <c r="H101" s="59"/>
    </row>
    <row r="102" spans="1:6" s="3" customFormat="1" ht="18.75">
      <c r="A102" s="101" t="s">
        <v>10</v>
      </c>
      <c r="B102" s="8">
        <f t="shared" si="1"/>
        <v>1035.205</v>
      </c>
      <c r="C102" s="8"/>
      <c r="D102" s="8"/>
      <c r="E102" s="17">
        <f>E103+E104</f>
        <v>472.202</v>
      </c>
      <c r="F102" s="18">
        <f>F103+F104</f>
        <v>563.0029999999999</v>
      </c>
    </row>
    <row r="103" spans="1:6" s="3" customFormat="1" ht="18.75">
      <c r="A103" s="101" t="s">
        <v>11</v>
      </c>
      <c r="B103" s="8">
        <f t="shared" si="1"/>
        <v>1027.715</v>
      </c>
      <c r="C103" s="70"/>
      <c r="D103" s="70"/>
      <c r="E103" s="70">
        <f>411.31+53.402</f>
        <v>464.712</v>
      </c>
      <c r="F103" s="71">
        <f>488.061+74.942</f>
        <v>563.0029999999999</v>
      </c>
    </row>
    <row r="104" spans="1:6" s="3" customFormat="1" ht="18.75">
      <c r="A104" s="101" t="s">
        <v>12</v>
      </c>
      <c r="B104" s="8">
        <f t="shared" si="1"/>
        <v>7.49</v>
      </c>
      <c r="C104" s="70"/>
      <c r="D104" s="70"/>
      <c r="E104" s="70">
        <v>7.49</v>
      </c>
      <c r="F104" s="71"/>
    </row>
    <row r="105" spans="1:6" s="3" customFormat="1" ht="36">
      <c r="A105" s="104" t="s">
        <v>43</v>
      </c>
      <c r="B105" s="8">
        <f t="shared" si="1"/>
        <v>5835.694</v>
      </c>
      <c r="C105" s="17"/>
      <c r="D105" s="8"/>
      <c r="E105" s="17">
        <f>E106+E107</f>
        <v>1317.412</v>
      </c>
      <c r="F105" s="18">
        <f>F106+F107</f>
        <v>4518.282</v>
      </c>
    </row>
    <row r="106" spans="1:6" s="3" customFormat="1" ht="18.75">
      <c r="A106" s="101" t="s">
        <v>13</v>
      </c>
      <c r="B106" s="8">
        <f t="shared" si="1"/>
        <v>2648.3360000000002</v>
      </c>
      <c r="C106" s="8"/>
      <c r="D106" s="8"/>
      <c r="E106" s="17">
        <v>1270.986</v>
      </c>
      <c r="F106" s="18">
        <v>1377.35</v>
      </c>
    </row>
    <row r="107" spans="1:6" s="3" customFormat="1" ht="18.75">
      <c r="A107" s="101" t="s">
        <v>10</v>
      </c>
      <c r="B107" s="8">
        <f t="shared" si="1"/>
        <v>3187.358</v>
      </c>
      <c r="C107" s="8"/>
      <c r="D107" s="8"/>
      <c r="E107" s="17">
        <f>E108+E109</f>
        <v>46.426</v>
      </c>
      <c r="F107" s="18">
        <f>F108+F109</f>
        <v>3140.9320000000002</v>
      </c>
    </row>
    <row r="108" spans="1:6" s="3" customFormat="1" ht="18.75">
      <c r="A108" s="101" t="s">
        <v>11</v>
      </c>
      <c r="B108" s="8">
        <f t="shared" si="1"/>
        <v>306.007</v>
      </c>
      <c r="C108" s="10"/>
      <c r="D108" s="8"/>
      <c r="E108" s="70">
        <v>16.283</v>
      </c>
      <c r="F108" s="71">
        <v>289.724</v>
      </c>
    </row>
    <row r="109" spans="1:6" s="3" customFormat="1" ht="19.5" thickBot="1">
      <c r="A109" s="102" t="s">
        <v>12</v>
      </c>
      <c r="B109" s="19">
        <f t="shared" si="1"/>
        <v>2881.351</v>
      </c>
      <c r="C109" s="21"/>
      <c r="D109" s="19"/>
      <c r="E109" s="86">
        <v>30.143</v>
      </c>
      <c r="F109" s="87">
        <v>2851.208</v>
      </c>
    </row>
    <row r="110" spans="1:6" s="3" customFormat="1" ht="18.75" thickBot="1">
      <c r="A110" s="105"/>
      <c r="B110" s="106"/>
      <c r="C110" s="106"/>
      <c r="D110" s="106"/>
      <c r="E110" s="106"/>
      <c r="F110" s="106"/>
    </row>
    <row r="111" spans="1:6" s="3" customFormat="1" ht="36" customHeight="1" thickBot="1">
      <c r="A111" s="26" t="s">
        <v>50</v>
      </c>
      <c r="B111" s="113">
        <f>C111+D111+E111+F111</f>
        <v>118617.98800000001</v>
      </c>
      <c r="C111" s="118">
        <f>C105+C100+C95+C90+C85+C80+C75+C70+C65+C60+C55+C50+C45+C40+C35+C30+C25+C20+C15+C10+C5</f>
        <v>47852.340000000004</v>
      </c>
      <c r="D111" s="118">
        <f>D105+D100+D95+D90+D85+D80+D75+D70+D65+D60+D55+D50+D45+D40+D35+D30+D25+D20+D15+D10+D5</f>
        <v>2046.8980000000001</v>
      </c>
      <c r="E111" s="118">
        <f>E105+E100+E95+E90+E85+E80+E75+E70+E65+E60+E55+E50+E45+E40+E35+E30+E25+E20+E15+E10+E5</f>
        <v>29415.394</v>
      </c>
      <c r="F111" s="118">
        <f>F105+F100+F95+F90+F85+F80+F75+F70+F65+F60+F55+F50+F45+F40+F35+F30+F25+F20+F15+F10+F5</f>
        <v>39303.356</v>
      </c>
    </row>
    <row r="114" spans="2:6" ht="18">
      <c r="B114" s="124"/>
      <c r="C114" s="124"/>
      <c r="D114" s="124"/>
      <c r="E114" s="124"/>
      <c r="F114" s="124"/>
    </row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6"/>
  <sheetViews>
    <sheetView zoomScale="60" zoomScaleNormal="60" zoomScalePageLayoutView="0" workbookViewId="0" topLeftCell="A1">
      <pane xSplit="1" ySplit="4" topLeftCell="B6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32" sqref="R32"/>
    </sheetView>
  </sheetViews>
  <sheetFormatPr defaultColWidth="9.00390625" defaultRowHeight="12.75"/>
  <cols>
    <col min="1" max="1" width="73.375" style="3" customWidth="1"/>
    <col min="2" max="2" width="27.00390625" style="3" customWidth="1"/>
    <col min="3" max="6" width="25.25390625" style="3" customWidth="1"/>
    <col min="7" max="8" width="9.125" style="3" customWidth="1"/>
    <col min="16" max="21" width="15.875" style="0" customWidth="1"/>
  </cols>
  <sheetData>
    <row r="1" spans="1:6" s="36" customFormat="1" ht="47.25" customHeight="1">
      <c r="A1" s="185" t="s">
        <v>29</v>
      </c>
      <c r="B1" s="185"/>
      <c r="C1" s="185"/>
      <c r="D1" s="185"/>
      <c r="E1" s="185"/>
      <c r="F1" s="185"/>
    </row>
    <row r="2" spans="1:6" s="37" customFormat="1" ht="23.25">
      <c r="A2" s="186" t="s">
        <v>54</v>
      </c>
      <c r="B2" s="186"/>
      <c r="C2" s="186"/>
      <c r="D2" s="187"/>
      <c r="E2" s="187"/>
      <c r="F2" s="187"/>
    </row>
    <row r="3" ht="18.75" thickBot="1">
      <c r="F3" s="56" t="s">
        <v>28</v>
      </c>
    </row>
    <row r="4" spans="1:6" s="1" customFormat="1" ht="29.25" customHeight="1" thickBot="1">
      <c r="A4" s="38" t="s">
        <v>18</v>
      </c>
      <c r="B4" s="53"/>
      <c r="C4" s="42" t="s">
        <v>0</v>
      </c>
      <c r="D4" s="42" t="s">
        <v>1</v>
      </c>
      <c r="E4" s="42" t="s">
        <v>2</v>
      </c>
      <c r="F4" s="43" t="s">
        <v>3</v>
      </c>
    </row>
    <row r="5" spans="1:20" s="2" customFormat="1" ht="40.5" customHeight="1">
      <c r="A5" s="103" t="s">
        <v>35</v>
      </c>
      <c r="B5" s="44">
        <f>C5+D5+E5+F5</f>
        <v>65136.422000000006</v>
      </c>
      <c r="C5" s="74">
        <f>C6+C7</f>
        <v>25527.257</v>
      </c>
      <c r="D5" s="74">
        <f>D6+D7</f>
        <v>919.081</v>
      </c>
      <c r="E5" s="74">
        <f>E6+E7</f>
        <v>15626.885999999999</v>
      </c>
      <c r="F5" s="74">
        <f>F6+F7</f>
        <v>23063.198</v>
      </c>
      <c r="P5" s="25"/>
      <c r="Q5" s="35"/>
      <c r="R5" s="35"/>
      <c r="S5" s="35"/>
      <c r="T5" s="35"/>
    </row>
    <row r="6" spans="1:20" s="2" customFormat="1" ht="17.25" customHeight="1">
      <c r="A6" s="100" t="s">
        <v>47</v>
      </c>
      <c r="B6" s="8">
        <f aca="true" t="shared" si="0" ref="B6:B57">C6+D6+E6+F6</f>
        <v>49169.549000000006</v>
      </c>
      <c r="C6" s="8">
        <f>25527.257-C7</f>
        <v>25496.523</v>
      </c>
      <c r="D6" s="8">
        <v>917.731</v>
      </c>
      <c r="E6" s="8">
        <v>14852.925</v>
      </c>
      <c r="F6" s="9">
        <v>7902.37</v>
      </c>
      <c r="P6" s="25"/>
      <c r="Q6" s="35"/>
      <c r="R6" s="35"/>
      <c r="S6" s="35"/>
      <c r="T6" s="35"/>
    </row>
    <row r="7" spans="1:20" s="2" customFormat="1" ht="18" customHeight="1">
      <c r="A7" s="101" t="s">
        <v>10</v>
      </c>
      <c r="B7" s="8">
        <f t="shared" si="0"/>
        <v>15966.873</v>
      </c>
      <c r="C7" s="8">
        <f>C8+C9</f>
        <v>30.733999999999998</v>
      </c>
      <c r="D7" s="17">
        <f>D8+D9</f>
        <v>1.35</v>
      </c>
      <c r="E7" s="17">
        <f>E8+E9</f>
        <v>773.961</v>
      </c>
      <c r="F7" s="18">
        <f>F8+F9</f>
        <v>15160.828</v>
      </c>
      <c r="P7" s="25"/>
      <c r="Q7" s="25"/>
      <c r="R7" s="35"/>
      <c r="S7" s="35"/>
      <c r="T7" s="35"/>
    </row>
    <row r="8" spans="1:20" s="2" customFormat="1" ht="19.5" customHeight="1">
      <c r="A8" s="101" t="s">
        <v>11</v>
      </c>
      <c r="B8" s="8">
        <f t="shared" si="0"/>
        <v>4410.0199999999995</v>
      </c>
      <c r="C8" s="70">
        <v>7.999</v>
      </c>
      <c r="D8" s="70"/>
      <c r="E8" s="70">
        <v>178.442</v>
      </c>
      <c r="F8" s="71">
        <v>4223.579</v>
      </c>
      <c r="P8" s="25"/>
      <c r="Q8" s="35"/>
      <c r="R8" s="35"/>
      <c r="S8" s="35"/>
      <c r="T8" s="35"/>
    </row>
    <row r="9" spans="1:20" s="2" customFormat="1" ht="19.5" customHeight="1">
      <c r="A9" s="101" t="s">
        <v>12</v>
      </c>
      <c r="B9" s="8">
        <f t="shared" si="0"/>
        <v>11556.853</v>
      </c>
      <c r="C9" s="70">
        <v>22.735</v>
      </c>
      <c r="D9" s="70">
        <v>1.35</v>
      </c>
      <c r="E9" s="70">
        <v>595.519</v>
      </c>
      <c r="F9" s="71">
        <v>10937.249</v>
      </c>
      <c r="P9" s="25"/>
      <c r="Q9" s="25"/>
      <c r="R9" s="25"/>
      <c r="S9" s="25"/>
      <c r="T9" s="25"/>
    </row>
    <row r="10" spans="1:20" s="2" customFormat="1" ht="36" customHeight="1">
      <c r="A10" s="104" t="s">
        <v>36</v>
      </c>
      <c r="B10" s="8">
        <f t="shared" si="0"/>
        <v>5010.8589999999995</v>
      </c>
      <c r="C10" s="17">
        <f>C11+C12</f>
        <v>668.52</v>
      </c>
      <c r="D10" s="17"/>
      <c r="E10" s="17">
        <f>E11+E12</f>
        <v>1621.577</v>
      </c>
      <c r="F10" s="18">
        <f>F11+F12</f>
        <v>2720.7619999999997</v>
      </c>
      <c r="P10" s="123"/>
      <c r="Q10" s="136"/>
      <c r="R10" s="123"/>
      <c r="S10" s="123"/>
      <c r="T10" s="123"/>
    </row>
    <row r="11" spans="1:20" s="2" customFormat="1" ht="21.75" customHeight="1">
      <c r="A11" s="101" t="s">
        <v>13</v>
      </c>
      <c r="B11" s="8">
        <f t="shared" si="0"/>
        <v>2941.131</v>
      </c>
      <c r="C11" s="8">
        <v>588.31</v>
      </c>
      <c r="D11" s="8"/>
      <c r="E11" s="8">
        <v>1358.786</v>
      </c>
      <c r="F11" s="9">
        <v>994.035</v>
      </c>
      <c r="P11" s="123"/>
      <c r="Q11" s="136"/>
      <c r="R11" s="123"/>
      <c r="S11" s="123"/>
      <c r="T11" s="123"/>
    </row>
    <row r="12" spans="1:20" s="2" customFormat="1" ht="21" customHeight="1">
      <c r="A12" s="101" t="s">
        <v>10</v>
      </c>
      <c r="B12" s="8">
        <f t="shared" si="0"/>
        <v>2069.728</v>
      </c>
      <c r="C12" s="17">
        <f>C13+C14</f>
        <v>80.21</v>
      </c>
      <c r="D12" s="8"/>
      <c r="E12" s="17">
        <f>E13+E14</f>
        <v>262.791</v>
      </c>
      <c r="F12" s="18">
        <f>F13+F14</f>
        <v>1726.7269999999999</v>
      </c>
      <c r="P12" s="25"/>
      <c r="Q12" s="25"/>
      <c r="R12" s="35"/>
      <c r="S12" s="35"/>
      <c r="T12" s="35"/>
    </row>
    <row r="13" spans="1:20" s="2" customFormat="1" ht="21.75" customHeight="1">
      <c r="A13" s="101" t="s">
        <v>11</v>
      </c>
      <c r="B13" s="8">
        <f t="shared" si="0"/>
        <v>1259.088</v>
      </c>
      <c r="C13" s="70"/>
      <c r="D13" s="70"/>
      <c r="E13" s="70">
        <v>51.509</v>
      </c>
      <c r="F13" s="71">
        <v>1207.579</v>
      </c>
      <c r="P13" s="25"/>
      <c r="Q13" s="135"/>
      <c r="R13" s="135"/>
      <c r="S13" s="135"/>
      <c r="T13" s="135"/>
    </row>
    <row r="14" spans="1:20" s="2" customFormat="1" ht="21" customHeight="1">
      <c r="A14" s="101" t="s">
        <v>12</v>
      </c>
      <c r="B14" s="8">
        <f t="shared" si="0"/>
        <v>810.6400000000001</v>
      </c>
      <c r="C14" s="70">
        <v>80.21</v>
      </c>
      <c r="D14" s="70"/>
      <c r="E14" s="70">
        <v>211.282</v>
      </c>
      <c r="F14" s="71">
        <v>519.148</v>
      </c>
      <c r="P14" s="25"/>
      <c r="Q14" s="135"/>
      <c r="R14" s="135"/>
      <c r="S14" s="135"/>
      <c r="T14" s="135"/>
    </row>
    <row r="15" spans="1:20" s="2" customFormat="1" ht="41.25" customHeight="1">
      <c r="A15" s="104" t="s">
        <v>6</v>
      </c>
      <c r="B15" s="8">
        <f t="shared" si="0"/>
        <v>894.09</v>
      </c>
      <c r="C15" s="17">
        <f>C16+C17</f>
        <v>894.09</v>
      </c>
      <c r="D15" s="8"/>
      <c r="E15" s="8"/>
      <c r="F15" s="9"/>
      <c r="P15" s="4"/>
      <c r="Q15" s="4"/>
      <c r="R15" s="4"/>
      <c r="S15" s="4"/>
      <c r="T15" s="4"/>
    </row>
    <row r="16" spans="1:6" s="2" customFormat="1" ht="19.5" customHeight="1">
      <c r="A16" s="101" t="s">
        <v>13</v>
      </c>
      <c r="B16" s="8">
        <f t="shared" si="0"/>
        <v>893.798</v>
      </c>
      <c r="C16" s="8">
        <v>893.798</v>
      </c>
      <c r="D16" s="8"/>
      <c r="E16" s="17"/>
      <c r="F16" s="18"/>
    </row>
    <row r="17" spans="1:6" s="2" customFormat="1" ht="24.75" customHeight="1">
      <c r="A17" s="101" t="s">
        <v>10</v>
      </c>
      <c r="B17" s="8">
        <f t="shared" si="0"/>
        <v>0.292</v>
      </c>
      <c r="C17" s="17">
        <f>C18+C19</f>
        <v>0.292</v>
      </c>
      <c r="D17" s="8"/>
      <c r="E17" s="17"/>
      <c r="F17" s="18"/>
    </row>
    <row r="18" spans="1:6" s="2" customFormat="1" ht="25.5" customHeight="1">
      <c r="A18" s="101" t="s">
        <v>11</v>
      </c>
      <c r="B18" s="8">
        <f t="shared" si="0"/>
        <v>0.292</v>
      </c>
      <c r="C18" s="70">
        <v>0.292</v>
      </c>
      <c r="D18" s="70"/>
      <c r="E18" s="70"/>
      <c r="F18" s="71"/>
    </row>
    <row r="19" spans="1:6" s="2" customFormat="1" ht="20.25" customHeight="1">
      <c r="A19" s="101" t="s">
        <v>12</v>
      </c>
      <c r="B19" s="8">
        <f t="shared" si="0"/>
        <v>0</v>
      </c>
      <c r="C19" s="70"/>
      <c r="D19" s="70"/>
      <c r="E19" s="70"/>
      <c r="F19" s="71"/>
    </row>
    <row r="20" spans="1:6" s="2" customFormat="1" ht="50.25" customHeight="1">
      <c r="A20" s="104" t="s">
        <v>37</v>
      </c>
      <c r="B20" s="8">
        <f t="shared" si="0"/>
        <v>2403.766</v>
      </c>
      <c r="C20" s="17">
        <f>C21+C22</f>
        <v>2060.66</v>
      </c>
      <c r="D20" s="17">
        <f>D21+D22</f>
        <v>181.515</v>
      </c>
      <c r="E20" s="17">
        <f>E21+E22</f>
        <v>82.117</v>
      </c>
      <c r="F20" s="18">
        <f>F21+F22</f>
        <v>79.474</v>
      </c>
    </row>
    <row r="21" spans="1:6" s="2" customFormat="1" ht="22.5" customHeight="1">
      <c r="A21" s="101" t="s">
        <v>13</v>
      </c>
      <c r="B21" s="8">
        <f t="shared" si="0"/>
        <v>2386.3869999999997</v>
      </c>
      <c r="C21" s="8">
        <v>2060.66</v>
      </c>
      <c r="D21" s="8">
        <v>181.515</v>
      </c>
      <c r="E21" s="8">
        <v>82.117</v>
      </c>
      <c r="F21" s="9">
        <v>62.095</v>
      </c>
    </row>
    <row r="22" spans="1:6" s="2" customFormat="1" ht="18" customHeight="1">
      <c r="A22" s="101" t="s">
        <v>10</v>
      </c>
      <c r="B22" s="8">
        <f t="shared" si="0"/>
        <v>17.379</v>
      </c>
      <c r="C22" s="8"/>
      <c r="D22" s="8"/>
      <c r="E22" s="17">
        <f>E23+E24</f>
        <v>0</v>
      </c>
      <c r="F22" s="18">
        <f>F23+F24</f>
        <v>17.379</v>
      </c>
    </row>
    <row r="23" spans="1:6" s="2" customFormat="1" ht="25.5" customHeight="1">
      <c r="A23" s="101" t="s">
        <v>11</v>
      </c>
      <c r="B23" s="8">
        <f t="shared" si="0"/>
        <v>17.379</v>
      </c>
      <c r="C23" s="70"/>
      <c r="D23" s="70"/>
      <c r="E23" s="70"/>
      <c r="F23" s="71">
        <v>17.379</v>
      </c>
    </row>
    <row r="24" spans="1:6" s="2" customFormat="1" ht="23.25" customHeight="1">
      <c r="A24" s="101" t="s">
        <v>12</v>
      </c>
      <c r="B24" s="8">
        <f t="shared" si="0"/>
        <v>0</v>
      </c>
      <c r="C24" s="70"/>
      <c r="D24" s="70"/>
      <c r="E24" s="70"/>
      <c r="F24" s="71"/>
    </row>
    <row r="25" spans="1:6" s="2" customFormat="1" ht="23.25" customHeight="1">
      <c r="A25" s="104" t="s">
        <v>7</v>
      </c>
      <c r="B25" s="8">
        <f t="shared" si="0"/>
        <v>11916.787</v>
      </c>
      <c r="C25" s="17">
        <f>C26+C27</f>
        <v>6947.38</v>
      </c>
      <c r="D25" s="17"/>
      <c r="E25" s="17">
        <f>E26+E27</f>
        <v>1640.7869999999998</v>
      </c>
      <c r="F25" s="18">
        <f>F26+F27</f>
        <v>3328.62</v>
      </c>
    </row>
    <row r="26" spans="1:6" s="2" customFormat="1" ht="39.75" customHeight="1">
      <c r="A26" s="100" t="s">
        <v>48</v>
      </c>
      <c r="B26" s="8">
        <f t="shared" si="0"/>
        <v>9510.664</v>
      </c>
      <c r="C26" s="8">
        <f>6947.38</f>
        <v>6947.38</v>
      </c>
      <c r="D26" s="8"/>
      <c r="E26" s="17">
        <v>1589.995</v>
      </c>
      <c r="F26" s="18">
        <v>973.289</v>
      </c>
    </row>
    <row r="27" spans="1:6" s="2" customFormat="1" ht="19.5" customHeight="1">
      <c r="A27" s="101" t="s">
        <v>10</v>
      </c>
      <c r="B27" s="8">
        <f t="shared" si="0"/>
        <v>2406.123</v>
      </c>
      <c r="C27" s="8"/>
      <c r="D27" s="8"/>
      <c r="E27" s="17">
        <f>E28+E29</f>
        <v>50.792</v>
      </c>
      <c r="F27" s="18">
        <f>F28+F29</f>
        <v>2355.331</v>
      </c>
    </row>
    <row r="28" spans="1:6" s="2" customFormat="1" ht="23.25" customHeight="1">
      <c r="A28" s="101" t="s">
        <v>11</v>
      </c>
      <c r="B28" s="8">
        <f t="shared" si="0"/>
        <v>2376.488</v>
      </c>
      <c r="C28" s="70"/>
      <c r="D28" s="70"/>
      <c r="E28" s="70">
        <v>50.792</v>
      </c>
      <c r="F28" s="71">
        <v>2325.696</v>
      </c>
    </row>
    <row r="29" spans="1:6" s="2" customFormat="1" ht="19.5" customHeight="1">
      <c r="A29" s="101" t="s">
        <v>12</v>
      </c>
      <c r="B29" s="8">
        <f t="shared" si="0"/>
        <v>29.635</v>
      </c>
      <c r="C29" s="70"/>
      <c r="D29" s="70"/>
      <c r="E29" s="70"/>
      <c r="F29" s="71">
        <v>29.635</v>
      </c>
    </row>
    <row r="30" spans="1:6" s="2" customFormat="1" ht="19.5" customHeight="1">
      <c r="A30" s="104" t="s">
        <v>38</v>
      </c>
      <c r="B30" s="8">
        <f t="shared" si="0"/>
        <v>82.245</v>
      </c>
      <c r="C30" s="17"/>
      <c r="D30" s="17"/>
      <c r="E30" s="17">
        <f>E31+E32</f>
        <v>34.81</v>
      </c>
      <c r="F30" s="18">
        <f>F31+F32</f>
        <v>47.435</v>
      </c>
    </row>
    <row r="31" spans="1:6" s="2" customFormat="1" ht="24.75" customHeight="1">
      <c r="A31" s="101" t="s">
        <v>13</v>
      </c>
      <c r="B31" s="8">
        <f t="shared" si="0"/>
        <v>62.536</v>
      </c>
      <c r="C31" s="8"/>
      <c r="D31" s="8"/>
      <c r="E31" s="17">
        <v>34.81</v>
      </c>
      <c r="F31" s="18">
        <v>27.726</v>
      </c>
    </row>
    <row r="32" spans="1:6" s="2" customFormat="1" ht="24.75" customHeight="1">
      <c r="A32" s="101" t="s">
        <v>10</v>
      </c>
      <c r="B32" s="8">
        <f t="shared" si="0"/>
        <v>19.709</v>
      </c>
      <c r="C32" s="8"/>
      <c r="D32" s="8"/>
      <c r="E32" s="17">
        <f>E33+E34</f>
        <v>0</v>
      </c>
      <c r="F32" s="18">
        <f>F33+F34</f>
        <v>19.709</v>
      </c>
    </row>
    <row r="33" spans="1:6" s="2" customFormat="1" ht="24.75" customHeight="1">
      <c r="A33" s="101" t="s">
        <v>11</v>
      </c>
      <c r="B33" s="8">
        <f t="shared" si="0"/>
        <v>14.156</v>
      </c>
      <c r="C33" s="70"/>
      <c r="D33" s="70"/>
      <c r="E33" s="70"/>
      <c r="F33" s="71">
        <v>14.156</v>
      </c>
    </row>
    <row r="34" spans="1:6" s="2" customFormat="1" ht="24.75" customHeight="1">
      <c r="A34" s="101" t="s">
        <v>12</v>
      </c>
      <c r="B34" s="8">
        <f t="shared" si="0"/>
        <v>5.553</v>
      </c>
      <c r="C34" s="70"/>
      <c r="D34" s="70"/>
      <c r="E34" s="70"/>
      <c r="F34" s="71">
        <v>5.553</v>
      </c>
    </row>
    <row r="35" spans="1:6" s="2" customFormat="1" ht="24.75" customHeight="1">
      <c r="A35" s="137" t="s">
        <v>39</v>
      </c>
      <c r="B35" s="8">
        <f t="shared" si="0"/>
        <v>70.331</v>
      </c>
      <c r="C35" s="17">
        <f>C36+C37</f>
        <v>0</v>
      </c>
      <c r="D35" s="72"/>
      <c r="E35" s="17">
        <f>E36+E37</f>
        <v>0</v>
      </c>
      <c r="F35" s="18">
        <f>F36+F37</f>
        <v>70.331</v>
      </c>
    </row>
    <row r="36" spans="1:6" s="2" customFormat="1" ht="24.75" customHeight="1">
      <c r="A36" s="101" t="s">
        <v>13</v>
      </c>
      <c r="B36" s="8">
        <f t="shared" si="0"/>
        <v>64.558</v>
      </c>
      <c r="C36" s="8"/>
      <c r="D36" s="8"/>
      <c r="E36" s="8"/>
      <c r="F36" s="9">
        <v>64.558</v>
      </c>
    </row>
    <row r="37" spans="1:6" s="2" customFormat="1" ht="24.75" customHeight="1">
      <c r="A37" s="101" t="s">
        <v>10</v>
      </c>
      <c r="B37" s="8">
        <f t="shared" si="0"/>
        <v>5.773</v>
      </c>
      <c r="C37" s="17">
        <f>C38+C39</f>
        <v>0</v>
      </c>
      <c r="D37" s="8"/>
      <c r="E37" s="17"/>
      <c r="F37" s="18">
        <f>F38+F39</f>
        <v>5.773</v>
      </c>
    </row>
    <row r="38" spans="1:17" s="2" customFormat="1" ht="24.75" customHeight="1">
      <c r="A38" s="101" t="s">
        <v>11</v>
      </c>
      <c r="B38" s="8">
        <f t="shared" si="0"/>
        <v>0</v>
      </c>
      <c r="C38" s="72"/>
      <c r="D38" s="72"/>
      <c r="E38" s="72"/>
      <c r="F38" s="12"/>
      <c r="P38" s="129"/>
      <c r="Q38" s="129"/>
    </row>
    <row r="39" spans="1:6" s="2" customFormat="1" ht="24.75" customHeight="1">
      <c r="A39" s="101" t="s">
        <v>12</v>
      </c>
      <c r="B39" s="8">
        <f t="shared" si="0"/>
        <v>5.773</v>
      </c>
      <c r="C39" s="72"/>
      <c r="D39" s="72"/>
      <c r="E39" s="72"/>
      <c r="F39" s="12">
        <v>5.773</v>
      </c>
    </row>
    <row r="40" spans="1:6" s="2" customFormat="1" ht="24.75" customHeight="1">
      <c r="A40" s="104" t="s">
        <v>24</v>
      </c>
      <c r="B40" s="8">
        <f t="shared" si="0"/>
        <v>0</v>
      </c>
      <c r="C40" s="17">
        <f>C41+C42</f>
        <v>0</v>
      </c>
      <c r="D40" s="72"/>
      <c r="E40" s="17">
        <f>E41+E42</f>
        <v>0</v>
      </c>
      <c r="F40" s="18"/>
    </row>
    <row r="41" spans="1:6" s="2" customFormat="1" ht="21.75" customHeight="1">
      <c r="A41" s="101" t="s">
        <v>13</v>
      </c>
      <c r="B41" s="8">
        <f t="shared" si="0"/>
        <v>0</v>
      </c>
      <c r="C41" s="8"/>
      <c r="D41" s="8"/>
      <c r="E41" s="8"/>
      <c r="F41" s="9"/>
    </row>
    <row r="42" spans="1:6" s="2" customFormat="1" ht="26.25" customHeight="1">
      <c r="A42" s="101" t="s">
        <v>10</v>
      </c>
      <c r="B42" s="8">
        <f t="shared" si="0"/>
        <v>0</v>
      </c>
      <c r="C42" s="8"/>
      <c r="D42" s="8"/>
      <c r="E42" s="17"/>
      <c r="F42" s="18"/>
    </row>
    <row r="43" spans="1:6" s="2" customFormat="1" ht="26.25" customHeight="1">
      <c r="A43" s="101" t="s">
        <v>11</v>
      </c>
      <c r="B43" s="8">
        <f t="shared" si="0"/>
        <v>0</v>
      </c>
      <c r="C43" s="72"/>
      <c r="D43" s="72"/>
      <c r="E43" s="72"/>
      <c r="F43" s="12"/>
    </row>
    <row r="44" spans="1:6" s="2" customFormat="1" ht="26.25" customHeight="1">
      <c r="A44" s="101" t="s">
        <v>12</v>
      </c>
      <c r="B44" s="8">
        <f t="shared" si="0"/>
        <v>0</v>
      </c>
      <c r="C44" s="72"/>
      <c r="D44" s="72"/>
      <c r="E44" s="72"/>
      <c r="F44" s="12"/>
    </row>
    <row r="45" spans="1:6" s="2" customFormat="1" ht="24.75" customHeight="1">
      <c r="A45" s="81" t="s">
        <v>26</v>
      </c>
      <c r="B45" s="8">
        <f t="shared" si="0"/>
        <v>460.78700000000003</v>
      </c>
      <c r="C45" s="10"/>
      <c r="D45" s="8"/>
      <c r="E45" s="8">
        <f>E46+E47</f>
        <v>364.49</v>
      </c>
      <c r="F45" s="9">
        <f>F46+F47</f>
        <v>96.297</v>
      </c>
    </row>
    <row r="46" spans="1:6" s="2" customFormat="1" ht="21.75" customHeight="1">
      <c r="A46" s="101" t="s">
        <v>13</v>
      </c>
      <c r="B46" s="8">
        <f t="shared" si="0"/>
        <v>460.78700000000003</v>
      </c>
      <c r="C46" s="8"/>
      <c r="D46" s="8"/>
      <c r="E46" s="17">
        <v>364.49</v>
      </c>
      <c r="F46" s="18">
        <v>96.297</v>
      </c>
    </row>
    <row r="47" spans="1:6" s="2" customFormat="1" ht="18" customHeight="1">
      <c r="A47" s="101" t="s">
        <v>10</v>
      </c>
      <c r="B47" s="8">
        <f t="shared" si="0"/>
        <v>0</v>
      </c>
      <c r="C47" s="8"/>
      <c r="D47" s="8"/>
      <c r="E47" s="17">
        <f>E48+E49</f>
        <v>0</v>
      </c>
      <c r="F47" s="18">
        <f>F48+F49</f>
        <v>0</v>
      </c>
    </row>
    <row r="48" spans="1:6" s="2" customFormat="1" ht="21.75" customHeight="1">
      <c r="A48" s="101" t="s">
        <v>11</v>
      </c>
      <c r="B48" s="8">
        <f t="shared" si="0"/>
        <v>0</v>
      </c>
      <c r="C48" s="10"/>
      <c r="D48" s="8"/>
      <c r="E48" s="10"/>
      <c r="F48" s="14"/>
    </row>
    <row r="49" spans="1:6" s="2" customFormat="1" ht="21.75" customHeight="1">
      <c r="A49" s="101" t="s">
        <v>12</v>
      </c>
      <c r="B49" s="8">
        <f t="shared" si="0"/>
        <v>0</v>
      </c>
      <c r="C49" s="10"/>
      <c r="D49" s="8"/>
      <c r="E49" s="10"/>
      <c r="F49" s="14"/>
    </row>
    <row r="50" spans="1:6" s="33" customFormat="1" ht="23.25" customHeight="1">
      <c r="A50" s="81" t="s">
        <v>4</v>
      </c>
      <c r="B50" s="8">
        <f t="shared" si="0"/>
        <v>628.661</v>
      </c>
      <c r="C50" s="8">
        <f>C51+C52</f>
        <v>628.661</v>
      </c>
      <c r="D50" s="8"/>
      <c r="E50" s="8"/>
      <c r="F50" s="9"/>
    </row>
    <row r="51" spans="1:6" s="33" customFormat="1" ht="36.75" customHeight="1">
      <c r="A51" s="100" t="s">
        <v>48</v>
      </c>
      <c r="B51" s="8">
        <f t="shared" si="0"/>
        <v>628.661</v>
      </c>
      <c r="C51" s="17">
        <f>628.661</f>
        <v>628.661</v>
      </c>
      <c r="D51" s="8"/>
      <c r="E51" s="17"/>
      <c r="F51" s="18"/>
    </row>
    <row r="52" spans="1:6" ht="18.75">
      <c r="A52" s="101" t="s">
        <v>10</v>
      </c>
      <c r="B52" s="8">
        <f t="shared" si="0"/>
        <v>0</v>
      </c>
      <c r="C52" s="17">
        <f>C53+C54</f>
        <v>0</v>
      </c>
      <c r="D52" s="8"/>
      <c r="E52" s="17"/>
      <c r="F52" s="18"/>
    </row>
    <row r="53" spans="1:6" ht="18.75">
      <c r="A53" s="101" t="s">
        <v>11</v>
      </c>
      <c r="B53" s="8">
        <f t="shared" si="0"/>
        <v>0</v>
      </c>
      <c r="C53" s="70"/>
      <c r="D53" s="8"/>
      <c r="E53" s="8"/>
      <c r="F53" s="9"/>
    </row>
    <row r="54" spans="1:6" ht="18.75">
      <c r="A54" s="101" t="s">
        <v>12</v>
      </c>
      <c r="B54" s="8">
        <f t="shared" si="0"/>
        <v>0</v>
      </c>
      <c r="C54" s="70"/>
      <c r="D54" s="8"/>
      <c r="E54" s="8"/>
      <c r="F54" s="9"/>
    </row>
    <row r="55" spans="1:6" ht="54">
      <c r="A55" s="104" t="s">
        <v>40</v>
      </c>
      <c r="B55" s="8">
        <f t="shared" si="0"/>
        <v>1558.981</v>
      </c>
      <c r="C55" s="17">
        <f>C56</f>
        <v>922.98</v>
      </c>
      <c r="D55" s="17">
        <f>D56+D57</f>
        <v>0</v>
      </c>
      <c r="E55" s="17">
        <f>E56+E57</f>
        <v>248.867</v>
      </c>
      <c r="F55" s="18">
        <f>F56+F57</f>
        <v>387.134</v>
      </c>
    </row>
    <row r="56" spans="1:6" ht="37.5">
      <c r="A56" s="100" t="s">
        <v>48</v>
      </c>
      <c r="B56" s="8">
        <f t="shared" si="0"/>
        <v>1277.972</v>
      </c>
      <c r="C56" s="17">
        <v>922.98</v>
      </c>
      <c r="D56" s="17"/>
      <c r="E56" s="17">
        <v>248.867</v>
      </c>
      <c r="F56" s="18">
        <v>106.125</v>
      </c>
    </row>
    <row r="57" spans="1:6" ht="18.75">
      <c r="A57" s="101" t="s">
        <v>10</v>
      </c>
      <c r="B57" s="8">
        <f t="shared" si="0"/>
        <v>281.009</v>
      </c>
      <c r="C57" s="17">
        <f>C58+C59</f>
        <v>0</v>
      </c>
      <c r="D57" s="17">
        <f>D58+D59</f>
        <v>0</v>
      </c>
      <c r="E57" s="17">
        <f>E58+E59</f>
        <v>0</v>
      </c>
      <c r="F57" s="18">
        <f>F58+F59</f>
        <v>281.009</v>
      </c>
    </row>
    <row r="58" spans="1:6" ht="18.75">
      <c r="A58" s="101" t="s">
        <v>11</v>
      </c>
      <c r="B58" s="8">
        <f aca="true" t="shared" si="1" ref="B58:B94">C58+D58+E58+F58</f>
        <v>254.295</v>
      </c>
      <c r="C58" s="70"/>
      <c r="D58" s="8"/>
      <c r="E58" s="8"/>
      <c r="F58" s="9">
        <v>254.295</v>
      </c>
    </row>
    <row r="59" spans="1:6" ht="18.75">
      <c r="A59" s="101" t="s">
        <v>12</v>
      </c>
      <c r="B59" s="8">
        <f t="shared" si="1"/>
        <v>26.714</v>
      </c>
      <c r="C59" s="70"/>
      <c r="D59" s="8"/>
      <c r="E59" s="8"/>
      <c r="F59" s="9">
        <v>26.714</v>
      </c>
    </row>
    <row r="60" spans="1:19" ht="18.75">
      <c r="A60" s="104" t="s">
        <v>25</v>
      </c>
      <c r="B60" s="8">
        <f t="shared" si="1"/>
        <v>1715.4399999999998</v>
      </c>
      <c r="C60" s="8">
        <f>C61</f>
        <v>1705.753</v>
      </c>
      <c r="D60" s="8"/>
      <c r="E60" s="8"/>
      <c r="F60" s="9">
        <f>F61+F62</f>
        <v>9.687</v>
      </c>
      <c r="P60" s="125"/>
      <c r="Q60" s="125"/>
      <c r="R60" s="20"/>
      <c r="S60" s="20"/>
    </row>
    <row r="61" spans="1:19" ht="18.75">
      <c r="A61" s="101" t="s">
        <v>13</v>
      </c>
      <c r="B61" s="8">
        <f t="shared" si="1"/>
        <v>1715.4399999999998</v>
      </c>
      <c r="C61" s="82">
        <f>1705.753</f>
        <v>1705.753</v>
      </c>
      <c r="D61" s="82"/>
      <c r="E61" s="82"/>
      <c r="F61" s="83">
        <v>9.687</v>
      </c>
      <c r="P61" s="125"/>
      <c r="Q61" s="125"/>
      <c r="R61" s="20"/>
      <c r="S61" s="20"/>
    </row>
    <row r="62" spans="1:21" ht="18.75">
      <c r="A62" s="101" t="s">
        <v>10</v>
      </c>
      <c r="B62" s="8">
        <f t="shared" si="1"/>
        <v>0</v>
      </c>
      <c r="C62" s="70"/>
      <c r="D62" s="8"/>
      <c r="E62" s="8"/>
      <c r="F62" s="9">
        <f>F64+F63</f>
        <v>0</v>
      </c>
      <c r="P62" s="127"/>
      <c r="Q62" s="127"/>
      <c r="R62" s="127"/>
      <c r="S62" s="127"/>
      <c r="T62" s="20"/>
      <c r="U62" s="20"/>
    </row>
    <row r="63" spans="1:21" ht="18.75">
      <c r="A63" s="101" t="s">
        <v>11</v>
      </c>
      <c r="B63" s="8">
        <f t="shared" si="1"/>
        <v>0</v>
      </c>
      <c r="C63" s="70"/>
      <c r="D63" s="8"/>
      <c r="E63" s="10"/>
      <c r="F63" s="14"/>
      <c r="P63" s="126"/>
      <c r="Q63" s="127"/>
      <c r="R63" s="127"/>
      <c r="S63" s="127"/>
      <c r="T63" s="20"/>
      <c r="U63" s="20"/>
    </row>
    <row r="64" spans="1:21" ht="18.75">
      <c r="A64" s="101" t="s">
        <v>12</v>
      </c>
      <c r="B64" s="8">
        <f t="shared" si="1"/>
        <v>0</v>
      </c>
      <c r="C64" s="70"/>
      <c r="D64" s="8"/>
      <c r="E64" s="10"/>
      <c r="F64" s="14"/>
      <c r="P64" s="126"/>
      <c r="Q64" s="127"/>
      <c r="R64" s="127"/>
      <c r="S64" s="127"/>
      <c r="T64" s="20"/>
      <c r="U64" s="20"/>
    </row>
    <row r="65" spans="1:21" ht="18.75">
      <c r="A65" s="104" t="s">
        <v>41</v>
      </c>
      <c r="B65" s="8">
        <f t="shared" si="1"/>
        <v>10.515</v>
      </c>
      <c r="C65" s="8">
        <f>C66+C67</f>
        <v>0</v>
      </c>
      <c r="D65" s="8"/>
      <c r="E65" s="8">
        <f>E66+E67</f>
        <v>10.515</v>
      </c>
      <c r="F65" s="9">
        <f>F66+F67</f>
        <v>0</v>
      </c>
      <c r="P65" s="131"/>
      <c r="Q65" s="132"/>
      <c r="R65" s="132"/>
      <c r="S65" s="132"/>
      <c r="T65" s="132"/>
      <c r="U65" s="20"/>
    </row>
    <row r="66" spans="1:21" ht="18.75">
      <c r="A66" s="101" t="s">
        <v>13</v>
      </c>
      <c r="B66" s="8">
        <f t="shared" si="1"/>
        <v>10.515</v>
      </c>
      <c r="C66" s="82"/>
      <c r="D66" s="82"/>
      <c r="E66" s="82">
        <v>10.515</v>
      </c>
      <c r="F66" s="83"/>
      <c r="P66" s="131"/>
      <c r="Q66" s="132"/>
      <c r="R66" s="132"/>
      <c r="S66" s="132"/>
      <c r="T66" s="132"/>
      <c r="U66" s="20"/>
    </row>
    <row r="67" spans="1:21" ht="18.75">
      <c r="A67" s="101" t="s">
        <v>10</v>
      </c>
      <c r="B67" s="8">
        <f t="shared" si="1"/>
        <v>0</v>
      </c>
      <c r="C67" s="70"/>
      <c r="D67" s="8"/>
      <c r="E67" s="8">
        <f>E69+E68</f>
        <v>0</v>
      </c>
      <c r="F67" s="9">
        <f>F69+F68</f>
        <v>0</v>
      </c>
      <c r="P67" s="133"/>
      <c r="Q67" s="134"/>
      <c r="R67" s="134"/>
      <c r="S67" s="134"/>
      <c r="T67" s="134"/>
      <c r="U67" s="20"/>
    </row>
    <row r="68" spans="1:21" ht="18.75">
      <c r="A68" s="101" t="s">
        <v>11</v>
      </c>
      <c r="B68" s="8">
        <f t="shared" si="1"/>
        <v>0</v>
      </c>
      <c r="C68" s="70"/>
      <c r="D68" s="8"/>
      <c r="E68" s="10"/>
      <c r="F68" s="14"/>
      <c r="P68" s="133"/>
      <c r="Q68" s="134"/>
      <c r="R68" s="134"/>
      <c r="S68" s="134"/>
      <c r="T68" s="134"/>
      <c r="U68" s="20"/>
    </row>
    <row r="69" spans="1:21" ht="18.75">
      <c r="A69" s="101" t="s">
        <v>12</v>
      </c>
      <c r="B69" s="8">
        <f t="shared" si="1"/>
        <v>0</v>
      </c>
      <c r="C69" s="70"/>
      <c r="D69" s="8"/>
      <c r="E69" s="10"/>
      <c r="F69" s="14"/>
      <c r="P69" s="133"/>
      <c r="Q69" s="134"/>
      <c r="R69" s="134"/>
      <c r="S69" s="134"/>
      <c r="T69" s="134"/>
      <c r="U69" s="20"/>
    </row>
    <row r="70" spans="1:21" ht="36">
      <c r="A70" s="104" t="s">
        <v>23</v>
      </c>
      <c r="B70" s="8">
        <f t="shared" si="1"/>
        <v>71.656</v>
      </c>
      <c r="C70" s="70"/>
      <c r="D70" s="8"/>
      <c r="E70" s="8"/>
      <c r="F70" s="9">
        <f>F71+F72</f>
        <v>71.656</v>
      </c>
      <c r="P70" s="131"/>
      <c r="Q70" s="131"/>
      <c r="R70" s="131"/>
      <c r="S70" s="131"/>
      <c r="T70" s="131"/>
      <c r="U70" s="20"/>
    </row>
    <row r="71" spans="1:21" ht="18.75">
      <c r="A71" s="101" t="s">
        <v>13</v>
      </c>
      <c r="B71" s="8">
        <f t="shared" si="1"/>
        <v>4.598</v>
      </c>
      <c r="C71" s="70"/>
      <c r="D71" s="8"/>
      <c r="E71" s="8"/>
      <c r="F71" s="84">
        <v>4.598</v>
      </c>
      <c r="P71" s="130"/>
      <c r="Q71" s="130"/>
      <c r="R71" s="130"/>
      <c r="S71" s="130"/>
      <c r="T71" s="130"/>
      <c r="U71" s="20"/>
    </row>
    <row r="72" spans="1:21" ht="18.75">
      <c r="A72" s="101" t="s">
        <v>10</v>
      </c>
      <c r="B72" s="8">
        <f t="shared" si="1"/>
        <v>67.058</v>
      </c>
      <c r="C72" s="70"/>
      <c r="D72" s="8"/>
      <c r="E72" s="8"/>
      <c r="F72" s="9">
        <f>F74+F73</f>
        <v>67.058</v>
      </c>
      <c r="P72" s="128"/>
      <c r="Q72" s="128"/>
      <c r="R72" s="128"/>
      <c r="S72" s="128"/>
      <c r="T72" s="128"/>
      <c r="U72" s="20"/>
    </row>
    <row r="73" spans="1:21" ht="18.75">
      <c r="A73" s="101" t="s">
        <v>11</v>
      </c>
      <c r="B73" s="8">
        <f t="shared" si="1"/>
        <v>67.058</v>
      </c>
      <c r="C73" s="70"/>
      <c r="D73" s="8"/>
      <c r="E73" s="10"/>
      <c r="F73" s="14">
        <v>67.058</v>
      </c>
      <c r="P73" s="132"/>
      <c r="Q73" s="132"/>
      <c r="R73" s="132"/>
      <c r="S73" s="132"/>
      <c r="T73" s="132"/>
      <c r="U73" s="20"/>
    </row>
    <row r="74" spans="1:21" ht="18.75">
      <c r="A74" s="101" t="s">
        <v>12</v>
      </c>
      <c r="B74" s="8">
        <f t="shared" si="1"/>
        <v>0</v>
      </c>
      <c r="C74" s="70"/>
      <c r="D74" s="8"/>
      <c r="E74" s="10"/>
      <c r="F74" s="14"/>
      <c r="P74" s="132"/>
      <c r="Q74" s="132"/>
      <c r="R74" s="132"/>
      <c r="S74" s="132"/>
      <c r="T74" s="132"/>
      <c r="U74" s="20"/>
    </row>
    <row r="75" spans="1:21" ht="36">
      <c r="A75" s="104" t="s">
        <v>42</v>
      </c>
      <c r="B75" s="8">
        <f t="shared" si="1"/>
        <v>239.424</v>
      </c>
      <c r="C75" s="70"/>
      <c r="D75" s="8"/>
      <c r="E75" s="8">
        <f>E76+E77</f>
        <v>12.698</v>
      </c>
      <c r="F75" s="9">
        <f>F76+F77</f>
        <v>226.726</v>
      </c>
      <c r="P75" s="134"/>
      <c r="Q75" s="134"/>
      <c r="R75" s="134"/>
      <c r="S75" s="134"/>
      <c r="T75" s="134"/>
      <c r="U75" s="20"/>
    </row>
    <row r="76" spans="1:21" ht="18.75">
      <c r="A76" s="101" t="s">
        <v>13</v>
      </c>
      <c r="B76" s="8">
        <f t="shared" si="1"/>
        <v>77.18199999999999</v>
      </c>
      <c r="C76" s="70"/>
      <c r="D76" s="8"/>
      <c r="E76" s="90">
        <v>12.698</v>
      </c>
      <c r="F76" s="84">
        <v>64.484</v>
      </c>
      <c r="P76" s="134"/>
      <c r="Q76" s="134"/>
      <c r="R76" s="134"/>
      <c r="S76" s="134"/>
      <c r="T76" s="134"/>
      <c r="U76" s="20"/>
    </row>
    <row r="77" spans="1:21" ht="18.75">
      <c r="A77" s="101" t="s">
        <v>10</v>
      </c>
      <c r="B77" s="8">
        <f t="shared" si="1"/>
        <v>162.242</v>
      </c>
      <c r="C77" s="70"/>
      <c r="D77" s="8"/>
      <c r="E77" s="8">
        <f>E79+E78</f>
        <v>0</v>
      </c>
      <c r="F77" s="9">
        <f>F79+F78</f>
        <v>162.242</v>
      </c>
      <c r="P77" s="134"/>
      <c r="Q77" s="134"/>
      <c r="R77" s="134"/>
      <c r="S77" s="134"/>
      <c r="T77" s="134"/>
      <c r="U77" s="20"/>
    </row>
    <row r="78" spans="1:21" ht="18.75">
      <c r="A78" s="101" t="s">
        <v>11</v>
      </c>
      <c r="B78" s="8">
        <f t="shared" si="1"/>
        <v>0</v>
      </c>
      <c r="C78" s="70"/>
      <c r="D78" s="8"/>
      <c r="E78" s="8"/>
      <c r="F78" s="9"/>
      <c r="P78" s="132"/>
      <c r="Q78" s="132"/>
      <c r="R78" s="132"/>
      <c r="S78" s="132"/>
      <c r="T78" s="132"/>
      <c r="U78" s="20"/>
    </row>
    <row r="79" spans="1:21" ht="18.75">
      <c r="A79" s="101" t="s">
        <v>12</v>
      </c>
      <c r="B79" s="8">
        <f t="shared" si="1"/>
        <v>162.242</v>
      </c>
      <c r="C79" s="70"/>
      <c r="D79" s="8"/>
      <c r="E79" s="8"/>
      <c r="F79" s="9">
        <v>162.242</v>
      </c>
      <c r="P79" s="130"/>
      <c r="Q79" s="130"/>
      <c r="R79" s="130"/>
      <c r="S79" s="130"/>
      <c r="T79" s="130"/>
      <c r="U79" s="20"/>
    </row>
    <row r="80" spans="1:21" s="3" customFormat="1" ht="18.75">
      <c r="A80" s="104" t="s">
        <v>21</v>
      </c>
      <c r="B80" s="8">
        <f t="shared" si="1"/>
        <v>229.787</v>
      </c>
      <c r="C80" s="8">
        <f>C81+C82</f>
        <v>0</v>
      </c>
      <c r="D80" s="8"/>
      <c r="E80" s="8">
        <f>E81+E82</f>
        <v>229.787</v>
      </c>
      <c r="F80" s="9">
        <f>F81+F82</f>
        <v>0</v>
      </c>
      <c r="P80" s="128"/>
      <c r="Q80" s="128"/>
      <c r="R80" s="128"/>
      <c r="S80" s="128"/>
      <c r="T80" s="128"/>
      <c r="U80" s="59"/>
    </row>
    <row r="81" spans="1:21" s="3" customFormat="1" ht="18.75">
      <c r="A81" s="101" t="s">
        <v>13</v>
      </c>
      <c r="B81" s="8">
        <f t="shared" si="1"/>
        <v>229.787</v>
      </c>
      <c r="C81" s="82"/>
      <c r="D81" s="82"/>
      <c r="E81" s="82">
        <v>229.787</v>
      </c>
      <c r="F81" s="83"/>
      <c r="P81" s="132"/>
      <c r="Q81" s="132"/>
      <c r="R81" s="132"/>
      <c r="S81" s="132"/>
      <c r="T81" s="132"/>
      <c r="U81" s="59"/>
    </row>
    <row r="82" spans="1:21" s="3" customFormat="1" ht="18.75">
      <c r="A82" s="101" t="s">
        <v>10</v>
      </c>
      <c r="B82" s="8">
        <f t="shared" si="1"/>
        <v>0</v>
      </c>
      <c r="C82" s="70"/>
      <c r="D82" s="8"/>
      <c r="E82" s="8">
        <f>E84+E83</f>
        <v>0</v>
      </c>
      <c r="F82" s="9">
        <f>F84+F83</f>
        <v>0</v>
      </c>
      <c r="P82" s="132"/>
      <c r="Q82" s="132"/>
      <c r="R82" s="132"/>
      <c r="S82" s="132"/>
      <c r="T82" s="132"/>
      <c r="U82" s="59"/>
    </row>
    <row r="83" spans="1:21" s="3" customFormat="1" ht="18.75">
      <c r="A83" s="101" t="s">
        <v>11</v>
      </c>
      <c r="B83" s="8">
        <f t="shared" si="1"/>
        <v>0</v>
      </c>
      <c r="C83" s="70"/>
      <c r="D83" s="8"/>
      <c r="E83" s="10"/>
      <c r="F83" s="14"/>
      <c r="P83" s="132"/>
      <c r="Q83" s="132"/>
      <c r="R83" s="132"/>
      <c r="S83" s="132"/>
      <c r="T83" s="132"/>
      <c r="U83" s="59"/>
    </row>
    <row r="84" spans="1:21" s="3" customFormat="1" ht="18.75">
      <c r="A84" s="101" t="s">
        <v>12</v>
      </c>
      <c r="B84" s="8">
        <f t="shared" si="1"/>
        <v>0</v>
      </c>
      <c r="C84" s="70"/>
      <c r="D84" s="8"/>
      <c r="E84" s="10"/>
      <c r="F84" s="14"/>
      <c r="P84" s="134"/>
      <c r="Q84" s="132"/>
      <c r="R84" s="132"/>
      <c r="S84" s="132"/>
      <c r="T84" s="132"/>
      <c r="U84" s="59"/>
    </row>
    <row r="85" spans="1:21" s="3" customFormat="1" ht="18.75">
      <c r="A85" s="104" t="s">
        <v>22</v>
      </c>
      <c r="B85" s="8">
        <f t="shared" si="1"/>
        <v>355.429</v>
      </c>
      <c r="C85" s="70"/>
      <c r="D85" s="8"/>
      <c r="E85" s="8">
        <f>E86+E87</f>
        <v>355.429</v>
      </c>
      <c r="F85" s="9">
        <f>F86+F87</f>
        <v>0</v>
      </c>
      <c r="P85" s="134"/>
      <c r="Q85" s="132"/>
      <c r="R85" s="132"/>
      <c r="S85" s="132"/>
      <c r="T85" s="132"/>
      <c r="U85" s="59"/>
    </row>
    <row r="86" spans="1:21" s="3" customFormat="1" ht="18.75">
      <c r="A86" s="101" t="s">
        <v>13</v>
      </c>
      <c r="B86" s="8">
        <f t="shared" si="1"/>
        <v>355.429</v>
      </c>
      <c r="C86" s="70"/>
      <c r="D86" s="8"/>
      <c r="E86" s="8">
        <v>355.429</v>
      </c>
      <c r="F86" s="84"/>
      <c r="P86" s="131"/>
      <c r="Q86" s="132"/>
      <c r="R86" s="132"/>
      <c r="S86" s="132"/>
      <c r="T86" s="132"/>
      <c r="U86" s="59"/>
    </row>
    <row r="87" spans="1:21" s="3" customFormat="1" ht="18.75">
      <c r="A87" s="101" t="s">
        <v>10</v>
      </c>
      <c r="B87" s="8">
        <f t="shared" si="1"/>
        <v>0</v>
      </c>
      <c r="C87" s="70"/>
      <c r="D87" s="8"/>
      <c r="E87" s="8">
        <f>E89+E88</f>
        <v>0</v>
      </c>
      <c r="F87" s="9">
        <f>F89+F88</f>
        <v>0</v>
      </c>
      <c r="P87" s="59"/>
      <c r="Q87" s="59"/>
      <c r="R87" s="59"/>
      <c r="S87" s="59"/>
      <c r="T87" s="59"/>
      <c r="U87" s="59"/>
    </row>
    <row r="88" spans="1:21" s="3" customFormat="1" ht="32.25" customHeight="1">
      <c r="A88" s="101" t="s">
        <v>11</v>
      </c>
      <c r="B88" s="8">
        <f t="shared" si="1"/>
        <v>0</v>
      </c>
      <c r="C88" s="70"/>
      <c r="D88" s="8"/>
      <c r="E88" s="10"/>
      <c r="F88" s="14"/>
      <c r="P88" s="59"/>
      <c r="Q88" s="59"/>
      <c r="R88" s="59"/>
      <c r="S88" s="59"/>
      <c r="T88" s="59"/>
      <c r="U88" s="59"/>
    </row>
    <row r="89" spans="1:6" s="3" customFormat="1" ht="18.75">
      <c r="A89" s="101" t="s">
        <v>12</v>
      </c>
      <c r="B89" s="8">
        <f t="shared" si="1"/>
        <v>0</v>
      </c>
      <c r="C89" s="70"/>
      <c r="D89" s="8"/>
      <c r="E89" s="10"/>
      <c r="F89" s="14"/>
    </row>
    <row r="90" spans="1:6" s="3" customFormat="1" ht="18">
      <c r="A90" s="104" t="s">
        <v>49</v>
      </c>
      <c r="B90" s="8">
        <f t="shared" si="1"/>
        <v>0</v>
      </c>
      <c r="C90" s="70"/>
      <c r="D90" s="8"/>
      <c r="E90" s="8">
        <f>E91+E92</f>
        <v>0</v>
      </c>
      <c r="F90" s="9">
        <f>F91+F92</f>
        <v>0</v>
      </c>
    </row>
    <row r="91" spans="1:6" s="3" customFormat="1" ht="18.75">
      <c r="A91" s="101" t="s">
        <v>13</v>
      </c>
      <c r="B91" s="8">
        <f t="shared" si="1"/>
        <v>0</v>
      </c>
      <c r="C91" s="70"/>
      <c r="D91" s="8"/>
      <c r="E91" s="8"/>
      <c r="F91" s="84"/>
    </row>
    <row r="92" spans="1:6" s="3" customFormat="1" ht="18.75">
      <c r="A92" s="101" t="s">
        <v>10</v>
      </c>
      <c r="B92" s="8">
        <f t="shared" si="1"/>
        <v>0</v>
      </c>
      <c r="C92" s="70"/>
      <c r="D92" s="8"/>
      <c r="E92" s="8">
        <f>E94+E93</f>
        <v>0</v>
      </c>
      <c r="F92" s="9">
        <f>F94+F93</f>
        <v>0</v>
      </c>
    </row>
    <row r="93" spans="1:6" ht="18.75">
      <c r="A93" s="101" t="s">
        <v>11</v>
      </c>
      <c r="B93" s="8">
        <f t="shared" si="1"/>
        <v>0</v>
      </c>
      <c r="C93" s="70"/>
      <c r="D93" s="8"/>
      <c r="E93" s="8"/>
      <c r="F93" s="9"/>
    </row>
    <row r="94" spans="1:6" s="3" customFormat="1" ht="31.5" customHeight="1">
      <c r="A94" s="101" t="s">
        <v>12</v>
      </c>
      <c r="B94" s="8">
        <f t="shared" si="1"/>
        <v>0</v>
      </c>
      <c r="C94" s="70"/>
      <c r="D94" s="8"/>
      <c r="E94" s="8"/>
      <c r="F94" s="9"/>
    </row>
    <row r="95" spans="1:6" s="3" customFormat="1" ht="18">
      <c r="A95" s="104" t="s">
        <v>70</v>
      </c>
      <c r="B95" s="8">
        <f>C95+D95+E95+F95</f>
        <v>9.8</v>
      </c>
      <c r="C95" s="70"/>
      <c r="D95" s="8"/>
      <c r="E95" s="8">
        <f>E96+E97</f>
        <v>9.8</v>
      </c>
      <c r="F95" s="9">
        <f>F96+F97</f>
        <v>0</v>
      </c>
    </row>
    <row r="96" spans="1:6" s="3" customFormat="1" ht="18.75">
      <c r="A96" s="101" t="s">
        <v>13</v>
      </c>
      <c r="B96" s="8">
        <f>C96+D96+E96+F96</f>
        <v>9.8</v>
      </c>
      <c r="C96" s="70"/>
      <c r="D96" s="8"/>
      <c r="E96" s="8">
        <v>9.8</v>
      </c>
      <c r="F96" s="84"/>
    </row>
    <row r="97" spans="1:6" ht="18.75">
      <c r="A97" s="101" t="s">
        <v>10</v>
      </c>
      <c r="B97" s="8">
        <f>C97+D97+E97+F97</f>
        <v>0</v>
      </c>
      <c r="C97" s="70"/>
      <c r="D97" s="8"/>
      <c r="E97" s="8">
        <f>E99+E98</f>
        <v>0</v>
      </c>
      <c r="F97" s="9">
        <f>F99+F98</f>
        <v>0</v>
      </c>
    </row>
    <row r="98" spans="1:6" ht="18.75">
      <c r="A98" s="101" t="s">
        <v>11</v>
      </c>
      <c r="B98" s="8">
        <f>C98+D98+E98+F98</f>
        <v>0</v>
      </c>
      <c r="C98" s="70"/>
      <c r="D98" s="8"/>
      <c r="E98" s="8"/>
      <c r="F98" s="9"/>
    </row>
    <row r="99" spans="1:6" ht="18.75">
      <c r="A99" s="101" t="s">
        <v>12</v>
      </c>
      <c r="B99" s="8">
        <f>C99+D99+E99+F99</f>
        <v>0</v>
      </c>
      <c r="C99" s="70"/>
      <c r="D99" s="8"/>
      <c r="E99" s="8"/>
      <c r="F99" s="9"/>
    </row>
    <row r="100" spans="1:6" ht="18">
      <c r="A100" s="104" t="s">
        <v>8</v>
      </c>
      <c r="B100" s="8">
        <f aca="true" t="shared" si="2" ref="B100:B114">C100+D100+E100+F100</f>
        <v>1278.79</v>
      </c>
      <c r="C100" s="17">
        <f>C101+C102</f>
        <v>0</v>
      </c>
      <c r="D100" s="8"/>
      <c r="E100" s="17">
        <f>E101+E102</f>
        <v>621.355</v>
      </c>
      <c r="F100" s="18">
        <f>F101+F102</f>
        <v>657.435</v>
      </c>
    </row>
    <row r="101" spans="1:6" ht="18.75">
      <c r="A101" s="101" t="s">
        <v>13</v>
      </c>
      <c r="B101" s="8">
        <f t="shared" si="2"/>
        <v>613.399</v>
      </c>
      <c r="C101" s="8"/>
      <c r="D101" s="8"/>
      <c r="E101" s="17">
        <v>496.95</v>
      </c>
      <c r="F101" s="18">
        <v>116.449</v>
      </c>
    </row>
    <row r="102" spans="1:6" ht="18.75">
      <c r="A102" s="101" t="s">
        <v>10</v>
      </c>
      <c r="B102" s="8">
        <f t="shared" si="2"/>
        <v>665.391</v>
      </c>
      <c r="C102" s="8"/>
      <c r="D102" s="8"/>
      <c r="E102" s="17">
        <f>E103+E104</f>
        <v>124.405</v>
      </c>
      <c r="F102" s="18">
        <f>F103+F104</f>
        <v>540.986</v>
      </c>
    </row>
    <row r="103" spans="1:6" ht="18.75">
      <c r="A103" s="101" t="s">
        <v>11</v>
      </c>
      <c r="B103" s="8">
        <f t="shared" si="2"/>
        <v>568.206</v>
      </c>
      <c r="C103" s="8"/>
      <c r="D103" s="8"/>
      <c r="E103" s="70">
        <v>122.517</v>
      </c>
      <c r="F103" s="71">
        <v>445.689</v>
      </c>
    </row>
    <row r="104" spans="1:6" ht="18.75">
      <c r="A104" s="101" t="s">
        <v>12</v>
      </c>
      <c r="B104" s="8">
        <f t="shared" si="2"/>
        <v>97.185</v>
      </c>
      <c r="C104" s="8"/>
      <c r="D104" s="8"/>
      <c r="E104" s="70">
        <v>1.888</v>
      </c>
      <c r="F104" s="71">
        <v>95.297</v>
      </c>
    </row>
    <row r="105" spans="1:6" ht="18">
      <c r="A105" s="104" t="s">
        <v>5</v>
      </c>
      <c r="B105" s="8">
        <f t="shared" si="2"/>
        <v>2839.171</v>
      </c>
      <c r="C105" s="17">
        <f>C106+C107</f>
        <v>320.268</v>
      </c>
      <c r="D105" s="8"/>
      <c r="E105" s="17">
        <f>E106+E107</f>
        <v>1758.7089999999998</v>
      </c>
      <c r="F105" s="18">
        <f>F106+F107</f>
        <v>760.194</v>
      </c>
    </row>
    <row r="106" spans="1:6" ht="18.75">
      <c r="A106" s="101" t="s">
        <v>13</v>
      </c>
      <c r="B106" s="8">
        <f t="shared" si="2"/>
        <v>1884.527</v>
      </c>
      <c r="C106" s="17">
        <v>320.268</v>
      </c>
      <c r="D106" s="8"/>
      <c r="E106" s="17">
        <v>1320.042</v>
      </c>
      <c r="F106" s="18">
        <v>244.217</v>
      </c>
    </row>
    <row r="107" spans="1:6" ht="18.75">
      <c r="A107" s="101" t="s">
        <v>10</v>
      </c>
      <c r="B107" s="8">
        <f t="shared" si="2"/>
        <v>954.644</v>
      </c>
      <c r="C107" s="8"/>
      <c r="D107" s="8"/>
      <c r="E107" s="17">
        <f>E108+E109</f>
        <v>438.66700000000003</v>
      </c>
      <c r="F107" s="18">
        <f>F108+F109</f>
        <v>515.977</v>
      </c>
    </row>
    <row r="108" spans="1:6" ht="18.75">
      <c r="A108" s="101" t="s">
        <v>11</v>
      </c>
      <c r="B108" s="8">
        <f t="shared" si="2"/>
        <v>948.463</v>
      </c>
      <c r="C108" s="70"/>
      <c r="D108" s="70"/>
      <c r="E108" s="70">
        <f>384.886+47.6</f>
        <v>432.48600000000005</v>
      </c>
      <c r="F108" s="71">
        <v>515.977</v>
      </c>
    </row>
    <row r="109" spans="1:6" ht="18.75">
      <c r="A109" s="101" t="s">
        <v>12</v>
      </c>
      <c r="B109" s="8">
        <f t="shared" si="2"/>
        <v>6.181</v>
      </c>
      <c r="C109" s="70"/>
      <c r="D109" s="70"/>
      <c r="E109" s="70">
        <v>6.181</v>
      </c>
      <c r="F109" s="71"/>
    </row>
    <row r="110" spans="1:6" ht="18">
      <c r="A110" s="104" t="s">
        <v>43</v>
      </c>
      <c r="B110" s="8">
        <f t="shared" si="2"/>
        <v>5285.303999999999</v>
      </c>
      <c r="C110" s="17"/>
      <c r="D110" s="8"/>
      <c r="E110" s="17">
        <f>E111+E112</f>
        <v>1131.879</v>
      </c>
      <c r="F110" s="18">
        <f>F111+F112</f>
        <v>4153.424999999999</v>
      </c>
    </row>
    <row r="111" spans="1:6" ht="18.75">
      <c r="A111" s="101" t="s">
        <v>13</v>
      </c>
      <c r="B111" s="8">
        <f t="shared" si="2"/>
        <v>2291.214</v>
      </c>
      <c r="C111" s="8"/>
      <c r="D111" s="8"/>
      <c r="E111" s="17">
        <v>1091.223</v>
      </c>
      <c r="F111" s="18">
        <v>1199.991</v>
      </c>
    </row>
    <row r="112" spans="1:6" ht="18.75">
      <c r="A112" s="101" t="s">
        <v>10</v>
      </c>
      <c r="B112" s="8">
        <f t="shared" si="2"/>
        <v>2994.0899999999997</v>
      </c>
      <c r="C112" s="8"/>
      <c r="D112" s="8"/>
      <c r="E112" s="17">
        <f>E113+E114</f>
        <v>40.656000000000006</v>
      </c>
      <c r="F112" s="18">
        <f>F113+F114</f>
        <v>2953.4339999999997</v>
      </c>
    </row>
    <row r="113" spans="1:6" ht="18.75">
      <c r="A113" s="101" t="s">
        <v>11</v>
      </c>
      <c r="B113" s="8">
        <f t="shared" si="2"/>
        <v>295.058</v>
      </c>
      <c r="C113" s="10"/>
      <c r="D113" s="8"/>
      <c r="E113" s="70">
        <v>15.271</v>
      </c>
      <c r="F113" s="71">
        <v>279.787</v>
      </c>
    </row>
    <row r="114" spans="1:6" ht="19.5" thickBot="1">
      <c r="A114" s="102" t="s">
        <v>12</v>
      </c>
      <c r="B114" s="19">
        <f t="shared" si="2"/>
        <v>2699.032</v>
      </c>
      <c r="C114" s="21"/>
      <c r="D114" s="19"/>
      <c r="E114" s="86">
        <v>25.385</v>
      </c>
      <c r="F114" s="87">
        <v>2673.647</v>
      </c>
    </row>
    <row r="115" spans="1:6" ht="18.75" thickBot="1">
      <c r="A115" s="105"/>
      <c r="B115" s="106"/>
      <c r="C115" s="106"/>
      <c r="D115" s="106"/>
      <c r="E115" s="106"/>
      <c r="F115" s="106"/>
    </row>
    <row r="116" spans="1:6" ht="31.5" customHeight="1" thickBot="1">
      <c r="A116" s="26" t="s">
        <v>50</v>
      </c>
      <c r="B116" s="113">
        <f>C116+D116+E116+F116</f>
        <v>100198.245</v>
      </c>
      <c r="C116" s="118">
        <f>C110+C105+C100+C95+C90+C85+C80+C75+C70+C65+C60+C55+C50+C45+C40+C35+C30+C25+C20+C15+C10+C5</f>
        <v>39675.569</v>
      </c>
      <c r="D116" s="118">
        <f>D110+D105+D100+D95+D90+D85+D80+D75+D70+D65+D60+D55+D50+D45+D40+D35+D30+D25+D20+D15+D10+D5</f>
        <v>1100.596</v>
      </c>
      <c r="E116" s="118">
        <f>E110+E105+E100+E95+E90+E85+E80+E75+E70+E65+E60+E55+E50+E45+E40+E35+E30+E25+E20+E15+E10+E5</f>
        <v>23749.706</v>
      </c>
      <c r="F116" s="118">
        <f>F110+F105+F100+F95+F90+F85+F80+F75+F70+F65+F60+F55+F50+F45+F40+F35+F30+F25+F20+F15+F10+F5</f>
        <v>35672.373999999996</v>
      </c>
    </row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3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8"/>
  <sheetViews>
    <sheetView zoomScale="60" zoomScaleNormal="60" zoomScalePageLayoutView="0" workbookViewId="0" topLeftCell="A1">
      <pane xSplit="1" ySplit="4" topLeftCell="B7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16" sqref="H116"/>
    </sheetView>
  </sheetViews>
  <sheetFormatPr defaultColWidth="9.00390625" defaultRowHeight="12.75"/>
  <cols>
    <col min="1" max="1" width="58.375" style="3" customWidth="1"/>
    <col min="2" max="6" width="25.25390625" style="3" customWidth="1"/>
    <col min="7" max="7" width="11.75390625" style="3" customWidth="1"/>
    <col min="8" max="8" width="86.00390625" style="59" customWidth="1"/>
    <col min="9" max="9" width="19.375" style="157" customWidth="1"/>
    <col min="10" max="13" width="20.875" style="157" customWidth="1"/>
    <col min="14" max="14" width="20.875" style="139" customWidth="1"/>
  </cols>
  <sheetData>
    <row r="1" spans="1:13" s="36" customFormat="1" ht="47.25" customHeight="1">
      <c r="A1" s="185" t="s">
        <v>29</v>
      </c>
      <c r="B1" s="185"/>
      <c r="C1" s="185"/>
      <c r="D1" s="185"/>
      <c r="E1" s="185"/>
      <c r="F1" s="185"/>
      <c r="H1" s="141"/>
      <c r="I1" s="25"/>
      <c r="J1" s="35"/>
      <c r="K1" s="35"/>
      <c r="L1" s="35"/>
      <c r="M1" s="35"/>
    </row>
    <row r="2" spans="1:14" s="37" customFormat="1" ht="23.25">
      <c r="A2" s="186" t="s">
        <v>55</v>
      </c>
      <c r="B2" s="186"/>
      <c r="C2" s="186"/>
      <c r="D2" s="187"/>
      <c r="E2" s="187"/>
      <c r="F2" s="187"/>
      <c r="H2" s="142"/>
      <c r="I2" s="25"/>
      <c r="J2" s="25"/>
      <c r="K2" s="25"/>
      <c r="L2" s="25"/>
      <c r="M2" s="25"/>
      <c r="N2" s="138"/>
    </row>
    <row r="3" spans="6:13" ht="24" thickBot="1">
      <c r="F3" s="56" t="s">
        <v>28</v>
      </c>
      <c r="H3" s="142"/>
      <c r="I3" s="25"/>
      <c r="J3" s="35"/>
      <c r="K3" s="25"/>
      <c r="L3" s="35"/>
      <c r="M3" s="35"/>
    </row>
    <row r="4" spans="1:14" s="1" customFormat="1" ht="29.25" customHeight="1" thickBot="1">
      <c r="A4" s="38" t="s">
        <v>19</v>
      </c>
      <c r="B4" s="53"/>
      <c r="C4" s="42" t="s">
        <v>0</v>
      </c>
      <c r="D4" s="42" t="s">
        <v>1</v>
      </c>
      <c r="E4" s="42" t="s">
        <v>2</v>
      </c>
      <c r="F4" s="43" t="s">
        <v>3</v>
      </c>
      <c r="H4" s="142"/>
      <c r="I4" s="25"/>
      <c r="J4" s="135"/>
      <c r="K4" s="135"/>
      <c r="L4" s="135"/>
      <c r="M4" s="135"/>
      <c r="N4" s="140"/>
    </row>
    <row r="5" spans="1:14" s="2" customFormat="1" ht="45.75" customHeight="1">
      <c r="A5" s="109" t="s">
        <v>35</v>
      </c>
      <c r="B5" s="44">
        <f>C5+D5+E5+F5</f>
        <v>64067.64199999999</v>
      </c>
      <c r="C5" s="74">
        <f>C6+C7</f>
        <v>25889.584</v>
      </c>
      <c r="D5" s="74">
        <f>D6+D7</f>
        <v>1135.395</v>
      </c>
      <c r="E5" s="74">
        <f>E6+E7</f>
        <v>14780.569</v>
      </c>
      <c r="F5" s="75">
        <f>F6+F7</f>
        <v>22262.094</v>
      </c>
      <c r="H5" s="142"/>
      <c r="I5" s="25"/>
      <c r="J5" s="135"/>
      <c r="K5" s="135"/>
      <c r="L5" s="135"/>
      <c r="M5" s="135"/>
      <c r="N5" s="140"/>
    </row>
    <row r="6" spans="1:14" s="2" customFormat="1" ht="24.75" customHeight="1">
      <c r="A6" s="97" t="s">
        <v>47</v>
      </c>
      <c r="B6" s="5">
        <f aca="true" t="shared" si="0" ref="B6:B56">C6+D6+E6+F6</f>
        <v>48199.167</v>
      </c>
      <c r="C6" s="8">
        <f>25889.584-C7</f>
        <v>25857.917999999998</v>
      </c>
      <c r="D6" s="8">
        <f>1135.395-D7</f>
        <v>1134.115</v>
      </c>
      <c r="E6" s="8">
        <f>14780.569-E7</f>
        <v>13920.345</v>
      </c>
      <c r="F6" s="9">
        <f>22262.094-F7</f>
        <v>7286.789000000001</v>
      </c>
      <c r="H6" s="141"/>
      <c r="I6" s="25"/>
      <c r="J6" s="35"/>
      <c r="K6" s="25"/>
      <c r="L6" s="25"/>
      <c r="M6" s="25"/>
      <c r="N6" s="140"/>
    </row>
    <row r="7" spans="1:14" s="2" customFormat="1" ht="19.5" customHeight="1">
      <c r="A7" s="98" t="s">
        <v>10</v>
      </c>
      <c r="B7" s="5">
        <f t="shared" si="0"/>
        <v>15868.475</v>
      </c>
      <c r="C7" s="8">
        <v>31.666</v>
      </c>
      <c r="D7" s="8">
        <v>1.28</v>
      </c>
      <c r="E7" s="8">
        <v>860.224</v>
      </c>
      <c r="F7" s="9">
        <v>14975.305</v>
      </c>
      <c r="H7" s="142"/>
      <c r="I7" s="25"/>
      <c r="J7" s="25"/>
      <c r="K7" s="25"/>
      <c r="L7" s="35"/>
      <c r="M7" s="35"/>
      <c r="N7" s="140"/>
    </row>
    <row r="8" spans="1:14" s="2" customFormat="1" ht="17.25" customHeight="1">
      <c r="A8" s="98" t="s">
        <v>11</v>
      </c>
      <c r="B8" s="5">
        <f t="shared" si="0"/>
        <v>4319.566999999999</v>
      </c>
      <c r="C8" s="70">
        <v>10.544</v>
      </c>
      <c r="D8" s="70"/>
      <c r="E8" s="70">
        <v>174.802</v>
      </c>
      <c r="F8" s="71">
        <v>4134.221</v>
      </c>
      <c r="H8" s="142"/>
      <c r="I8" s="25"/>
      <c r="J8" s="35"/>
      <c r="K8" s="25"/>
      <c r="L8" s="35"/>
      <c r="M8" s="35"/>
      <c r="N8" s="140"/>
    </row>
    <row r="9" spans="1:14" s="2" customFormat="1" ht="17.25" customHeight="1">
      <c r="A9" s="98" t="s">
        <v>12</v>
      </c>
      <c r="B9" s="5">
        <f t="shared" si="0"/>
        <v>11548.908000000001</v>
      </c>
      <c r="C9" s="70">
        <v>21.122</v>
      </c>
      <c r="D9" s="70">
        <v>1.28</v>
      </c>
      <c r="E9" s="70">
        <v>685.422</v>
      </c>
      <c r="F9" s="71">
        <v>10841.084</v>
      </c>
      <c r="H9" s="142"/>
      <c r="I9" s="25"/>
      <c r="J9" s="135"/>
      <c r="K9" s="135"/>
      <c r="L9" s="135"/>
      <c r="M9" s="135"/>
      <c r="N9" s="140"/>
    </row>
    <row r="10" spans="1:14" s="2" customFormat="1" ht="35.25" customHeight="1">
      <c r="A10" s="110" t="s">
        <v>36</v>
      </c>
      <c r="B10" s="5">
        <f t="shared" si="0"/>
        <v>4495.363</v>
      </c>
      <c r="C10" s="17">
        <v>586.34</v>
      </c>
      <c r="D10" s="17"/>
      <c r="E10" s="17">
        <v>1460.404</v>
      </c>
      <c r="F10" s="18">
        <v>2448.619</v>
      </c>
      <c r="H10" s="142"/>
      <c r="I10" s="25"/>
      <c r="J10" s="135"/>
      <c r="K10" s="135"/>
      <c r="L10" s="135"/>
      <c r="M10" s="135"/>
      <c r="N10" s="140"/>
    </row>
    <row r="11" spans="1:14" s="2" customFormat="1" ht="19.5" customHeight="1">
      <c r="A11" s="98" t="s">
        <v>13</v>
      </c>
      <c r="B11" s="5">
        <f t="shared" si="0"/>
        <v>2707.132</v>
      </c>
      <c r="C11" s="8">
        <v>514.32</v>
      </c>
      <c r="D11" s="8"/>
      <c r="E11" s="8">
        <v>1226.055</v>
      </c>
      <c r="F11" s="9">
        <v>966.757</v>
      </c>
      <c r="H11" s="141"/>
      <c r="I11" s="25"/>
      <c r="J11" s="35"/>
      <c r="K11" s="35"/>
      <c r="L11" s="35"/>
      <c r="M11" s="35"/>
      <c r="N11" s="140"/>
    </row>
    <row r="12" spans="1:14" s="2" customFormat="1" ht="18" customHeight="1">
      <c r="A12" s="98" t="s">
        <v>10</v>
      </c>
      <c r="B12" s="5">
        <f t="shared" si="0"/>
        <v>1788.231</v>
      </c>
      <c r="C12" s="17">
        <v>72.02</v>
      </c>
      <c r="D12" s="8"/>
      <c r="E12" s="17">
        <v>234.349</v>
      </c>
      <c r="F12" s="18">
        <v>1481.862</v>
      </c>
      <c r="H12" s="142"/>
      <c r="I12" s="25"/>
      <c r="J12" s="25"/>
      <c r="K12" s="25"/>
      <c r="L12" s="25"/>
      <c r="M12" s="25"/>
      <c r="N12" s="140"/>
    </row>
    <row r="13" spans="1:14" s="2" customFormat="1" ht="19.5" customHeight="1">
      <c r="A13" s="98" t="s">
        <v>11</v>
      </c>
      <c r="B13" s="5">
        <f t="shared" si="0"/>
        <v>1073.228</v>
      </c>
      <c r="C13" s="70"/>
      <c r="D13" s="70"/>
      <c r="E13" s="70">
        <v>44.565</v>
      </c>
      <c r="F13" s="71">
        <v>1028.663</v>
      </c>
      <c r="H13" s="142"/>
      <c r="I13" s="25"/>
      <c r="J13" s="25"/>
      <c r="K13" s="25"/>
      <c r="L13" s="35"/>
      <c r="M13" s="35"/>
      <c r="N13" s="140"/>
    </row>
    <row r="14" spans="1:14" s="2" customFormat="1" ht="19.5" customHeight="1">
      <c r="A14" s="98" t="s">
        <v>12</v>
      </c>
      <c r="B14" s="5">
        <f t="shared" si="0"/>
        <v>715.0029999999999</v>
      </c>
      <c r="C14" s="70">
        <v>72.02</v>
      </c>
      <c r="D14" s="70"/>
      <c r="E14" s="70">
        <v>189.784</v>
      </c>
      <c r="F14" s="71">
        <v>453.199</v>
      </c>
      <c r="H14" s="142"/>
      <c r="I14" s="25"/>
      <c r="J14" s="135"/>
      <c r="K14" s="135"/>
      <c r="L14" s="135"/>
      <c r="M14" s="135"/>
      <c r="N14" s="140"/>
    </row>
    <row r="15" spans="1:14" s="2" customFormat="1" ht="36" customHeight="1">
      <c r="A15" s="110" t="s">
        <v>6</v>
      </c>
      <c r="B15" s="5">
        <f t="shared" si="0"/>
        <v>874.909</v>
      </c>
      <c r="C15" s="17">
        <v>874.909</v>
      </c>
      <c r="D15" s="8"/>
      <c r="E15" s="8"/>
      <c r="F15" s="9"/>
      <c r="H15" s="142"/>
      <c r="I15" s="25"/>
      <c r="J15" s="135"/>
      <c r="K15" s="135"/>
      <c r="L15" s="135"/>
      <c r="M15" s="135"/>
      <c r="N15" s="140"/>
    </row>
    <row r="16" spans="1:14" s="2" customFormat="1" ht="21.75" customHeight="1">
      <c r="A16" s="98" t="s">
        <v>13</v>
      </c>
      <c r="B16" s="5">
        <f t="shared" si="0"/>
        <v>874.654</v>
      </c>
      <c r="C16" s="8">
        <v>874.654</v>
      </c>
      <c r="D16" s="8"/>
      <c r="E16" s="17"/>
      <c r="F16" s="18"/>
      <c r="H16" s="141"/>
      <c r="I16" s="25"/>
      <c r="J16" s="35"/>
      <c r="K16" s="35"/>
      <c r="L16" s="35"/>
      <c r="M16" s="35"/>
      <c r="N16" s="140"/>
    </row>
    <row r="17" spans="1:14" s="2" customFormat="1" ht="21" customHeight="1">
      <c r="A17" s="98" t="s">
        <v>10</v>
      </c>
      <c r="B17" s="5">
        <f t="shared" si="0"/>
        <v>0.255</v>
      </c>
      <c r="C17" s="17">
        <v>0.255</v>
      </c>
      <c r="D17" s="8"/>
      <c r="E17" s="17"/>
      <c r="F17" s="18"/>
      <c r="H17" s="143"/>
      <c r="I17" s="25"/>
      <c r="J17" s="25"/>
      <c r="K17" s="25"/>
      <c r="L17" s="35"/>
      <c r="M17" s="35"/>
      <c r="N17" s="140"/>
    </row>
    <row r="18" spans="1:14" s="2" customFormat="1" ht="21.75" customHeight="1">
      <c r="A18" s="98" t="s">
        <v>11</v>
      </c>
      <c r="B18" s="5">
        <f t="shared" si="0"/>
        <v>0.255</v>
      </c>
      <c r="C18" s="70">
        <v>0.255</v>
      </c>
      <c r="D18" s="70"/>
      <c r="E18" s="70"/>
      <c r="F18" s="71"/>
      <c r="H18" s="144"/>
      <c r="I18" s="25"/>
      <c r="J18" s="25"/>
      <c r="K18" s="25"/>
      <c r="L18" s="25"/>
      <c r="M18" s="25"/>
      <c r="N18" s="140"/>
    </row>
    <row r="19" spans="1:14" s="2" customFormat="1" ht="21" customHeight="1">
      <c r="A19" s="98" t="s">
        <v>12</v>
      </c>
      <c r="B19" s="5">
        <f t="shared" si="0"/>
        <v>0</v>
      </c>
      <c r="C19" s="70"/>
      <c r="D19" s="70"/>
      <c r="E19" s="70"/>
      <c r="F19" s="71"/>
      <c r="H19" s="143"/>
      <c r="I19" s="123"/>
      <c r="J19" s="136"/>
      <c r="K19" s="123"/>
      <c r="L19" s="123"/>
      <c r="M19" s="145"/>
      <c r="N19" s="140"/>
    </row>
    <row r="20" spans="1:14" s="2" customFormat="1" ht="41.25" customHeight="1">
      <c r="A20" s="110" t="s">
        <v>37</v>
      </c>
      <c r="B20" s="5">
        <f t="shared" si="0"/>
        <v>2281.2309999999998</v>
      </c>
      <c r="C20" s="17">
        <v>2050.901</v>
      </c>
      <c r="D20" s="17">
        <v>75.637</v>
      </c>
      <c r="E20" s="17">
        <v>86.511</v>
      </c>
      <c r="F20" s="18">
        <v>68.182</v>
      </c>
      <c r="H20" s="142"/>
      <c r="I20" s="25"/>
      <c r="J20" s="25"/>
      <c r="K20" s="25"/>
      <c r="L20" s="35"/>
      <c r="M20" s="35"/>
      <c r="N20" s="140"/>
    </row>
    <row r="21" spans="1:14" s="2" customFormat="1" ht="19.5" customHeight="1">
      <c r="A21" s="98" t="s">
        <v>13</v>
      </c>
      <c r="B21" s="5">
        <f t="shared" si="0"/>
        <v>2264.493</v>
      </c>
      <c r="C21" s="8">
        <v>2050.901</v>
      </c>
      <c r="D21" s="8">
        <v>75.637</v>
      </c>
      <c r="E21" s="8">
        <v>86.511</v>
      </c>
      <c r="F21" s="9">
        <v>51.444</v>
      </c>
      <c r="H21" s="142"/>
      <c r="I21" s="25"/>
      <c r="J21" s="135"/>
      <c r="K21" s="135"/>
      <c r="L21" s="135"/>
      <c r="M21" s="135"/>
      <c r="N21" s="140"/>
    </row>
    <row r="22" spans="1:14" s="2" customFormat="1" ht="24.75" customHeight="1">
      <c r="A22" s="98" t="s">
        <v>10</v>
      </c>
      <c r="B22" s="5">
        <f t="shared" si="0"/>
        <v>16.738</v>
      </c>
      <c r="C22" s="8"/>
      <c r="D22" s="8"/>
      <c r="E22" s="17">
        <v>0</v>
      </c>
      <c r="F22" s="18">
        <v>16.738</v>
      </c>
      <c r="H22" s="142"/>
      <c r="I22" s="25"/>
      <c r="J22" s="135"/>
      <c r="K22" s="135"/>
      <c r="L22" s="135"/>
      <c r="M22" s="135"/>
      <c r="N22" s="140"/>
    </row>
    <row r="23" spans="1:14" s="2" customFormat="1" ht="25.5" customHeight="1">
      <c r="A23" s="98" t="s">
        <v>11</v>
      </c>
      <c r="B23" s="5">
        <f t="shared" si="0"/>
        <v>16.738</v>
      </c>
      <c r="C23" s="70"/>
      <c r="D23" s="70"/>
      <c r="E23" s="70"/>
      <c r="F23" s="71">
        <v>16.738</v>
      </c>
      <c r="H23" s="141"/>
      <c r="I23" s="25"/>
      <c r="J23" s="35"/>
      <c r="K23" s="35"/>
      <c r="L23" s="35"/>
      <c r="M23" s="35"/>
      <c r="N23" s="140"/>
    </row>
    <row r="24" spans="1:14" s="2" customFormat="1" ht="20.25" customHeight="1">
      <c r="A24" s="98" t="s">
        <v>12</v>
      </c>
      <c r="B24" s="5">
        <f t="shared" si="0"/>
        <v>0</v>
      </c>
      <c r="C24" s="70"/>
      <c r="D24" s="70"/>
      <c r="E24" s="70"/>
      <c r="F24" s="71"/>
      <c r="H24" s="142"/>
      <c r="I24" s="25"/>
      <c r="J24" s="25"/>
      <c r="K24" s="25"/>
      <c r="L24" s="35"/>
      <c r="M24" s="35"/>
      <c r="N24" s="140"/>
    </row>
    <row r="25" spans="1:14" s="2" customFormat="1" ht="50.25" customHeight="1">
      <c r="A25" s="110" t="s">
        <v>7</v>
      </c>
      <c r="B25" s="5">
        <f t="shared" si="0"/>
        <v>11547.207999999999</v>
      </c>
      <c r="C25" s="17">
        <v>6785.302</v>
      </c>
      <c r="D25" s="17"/>
      <c r="E25" s="17">
        <v>1672.9560000000001</v>
      </c>
      <c r="F25" s="18">
        <v>3088.95</v>
      </c>
      <c r="H25" s="142"/>
      <c r="I25" s="25"/>
      <c r="J25" s="25"/>
      <c r="K25" s="25"/>
      <c r="L25" s="35"/>
      <c r="M25" s="35"/>
      <c r="N25" s="140"/>
    </row>
    <row r="26" spans="1:14" s="2" customFormat="1" ht="32.25" customHeight="1">
      <c r="A26" s="97" t="s">
        <v>48</v>
      </c>
      <c r="B26" s="5">
        <f t="shared" si="0"/>
        <v>9376.705</v>
      </c>
      <c r="C26" s="8">
        <f>5871.79+913.512</f>
        <v>6785.302</v>
      </c>
      <c r="D26" s="8"/>
      <c r="E26" s="17">
        <v>1625.248</v>
      </c>
      <c r="F26" s="18">
        <v>966.155</v>
      </c>
      <c r="H26" s="142"/>
      <c r="I26" s="25"/>
      <c r="J26" s="135"/>
      <c r="K26" s="135"/>
      <c r="L26" s="135"/>
      <c r="M26" s="135"/>
      <c r="N26" s="140"/>
    </row>
    <row r="27" spans="1:14" s="2" customFormat="1" ht="18" customHeight="1">
      <c r="A27" s="98" t="s">
        <v>10</v>
      </c>
      <c r="B27" s="5">
        <f t="shared" si="0"/>
        <v>2170.503</v>
      </c>
      <c r="C27" s="8">
        <v>0</v>
      </c>
      <c r="D27" s="8">
        <v>0</v>
      </c>
      <c r="E27" s="8">
        <v>47.708</v>
      </c>
      <c r="F27" s="9">
        <v>2122.795</v>
      </c>
      <c r="H27" s="142"/>
      <c r="I27" s="25"/>
      <c r="J27" s="135"/>
      <c r="K27" s="135"/>
      <c r="L27" s="135"/>
      <c r="M27" s="135"/>
      <c r="N27" s="140"/>
    </row>
    <row r="28" spans="1:14" s="2" customFormat="1" ht="36.75" customHeight="1">
      <c r="A28" s="98" t="s">
        <v>11</v>
      </c>
      <c r="B28" s="5">
        <f t="shared" si="0"/>
        <v>2139.578</v>
      </c>
      <c r="C28" s="70"/>
      <c r="D28" s="70"/>
      <c r="E28" s="70">
        <v>47.708</v>
      </c>
      <c r="F28" s="71">
        <v>2091.87</v>
      </c>
      <c r="H28" s="141"/>
      <c r="I28" s="25"/>
      <c r="J28" s="35"/>
      <c r="K28" s="146"/>
      <c r="L28" s="35"/>
      <c r="M28" s="35"/>
      <c r="N28" s="140"/>
    </row>
    <row r="29" spans="1:14" s="2" customFormat="1" ht="23.25" customHeight="1">
      <c r="A29" s="98" t="s">
        <v>12</v>
      </c>
      <c r="B29" s="5">
        <f t="shared" si="0"/>
        <v>30.925</v>
      </c>
      <c r="C29" s="70"/>
      <c r="D29" s="70"/>
      <c r="E29" s="70"/>
      <c r="F29" s="71">
        <v>30.925</v>
      </c>
      <c r="H29" s="142"/>
      <c r="I29" s="25"/>
      <c r="J29" s="25"/>
      <c r="K29" s="25"/>
      <c r="L29" s="25"/>
      <c r="M29" s="25"/>
      <c r="N29" s="140"/>
    </row>
    <row r="30" spans="1:14" s="2" customFormat="1" ht="23.25" customHeight="1">
      <c r="A30" s="110" t="s">
        <v>38</v>
      </c>
      <c r="B30" s="5">
        <f t="shared" si="0"/>
        <v>104.465</v>
      </c>
      <c r="C30" s="17"/>
      <c r="D30" s="17"/>
      <c r="E30" s="17">
        <v>59.607</v>
      </c>
      <c r="F30" s="18">
        <v>44.858000000000004</v>
      </c>
      <c r="H30" s="142"/>
      <c r="I30" s="25"/>
      <c r="J30" s="35"/>
      <c r="K30" s="25"/>
      <c r="L30" s="35"/>
      <c r="M30" s="35"/>
      <c r="N30" s="140"/>
    </row>
    <row r="31" spans="1:14" s="2" customFormat="1" ht="23.25" customHeight="1">
      <c r="A31" s="98" t="s">
        <v>13</v>
      </c>
      <c r="B31" s="5">
        <f t="shared" si="0"/>
        <v>83.261</v>
      </c>
      <c r="C31" s="8"/>
      <c r="D31" s="8"/>
      <c r="E31" s="17">
        <v>59.607</v>
      </c>
      <c r="F31" s="18">
        <v>23.654</v>
      </c>
      <c r="H31" s="142"/>
      <c r="I31" s="25"/>
      <c r="J31" s="146"/>
      <c r="K31" s="146"/>
      <c r="L31" s="146"/>
      <c r="M31" s="31"/>
      <c r="N31" s="140"/>
    </row>
    <row r="32" spans="1:14" s="2" customFormat="1" ht="23.25" customHeight="1">
      <c r="A32" s="98" t="s">
        <v>10</v>
      </c>
      <c r="B32" s="5">
        <f t="shared" si="0"/>
        <v>21.204</v>
      </c>
      <c r="C32" s="8"/>
      <c r="D32" s="8"/>
      <c r="E32" s="17">
        <v>0</v>
      </c>
      <c r="F32" s="18">
        <v>21.204</v>
      </c>
      <c r="H32" s="142"/>
      <c r="I32" s="25"/>
      <c r="J32" s="146"/>
      <c r="K32" s="146"/>
      <c r="L32" s="146"/>
      <c r="M32" s="31"/>
      <c r="N32" s="140"/>
    </row>
    <row r="33" spans="1:14" s="2" customFormat="1" ht="42" customHeight="1">
      <c r="A33" s="98" t="s">
        <v>11</v>
      </c>
      <c r="B33" s="5">
        <f t="shared" si="0"/>
        <v>16.146</v>
      </c>
      <c r="C33" s="70"/>
      <c r="D33" s="70"/>
      <c r="E33" s="70"/>
      <c r="F33" s="71">
        <v>16.146</v>
      </c>
      <c r="H33" s="141"/>
      <c r="I33" s="25"/>
      <c r="J33" s="146"/>
      <c r="K33" s="146"/>
      <c r="L33" s="146"/>
      <c r="M33" s="35"/>
      <c r="N33" s="140"/>
    </row>
    <row r="34" spans="1:14" s="2" customFormat="1" ht="19.5" customHeight="1">
      <c r="A34" s="98" t="s">
        <v>12</v>
      </c>
      <c r="B34" s="5">
        <f t="shared" si="0"/>
        <v>5.058</v>
      </c>
      <c r="C34" s="70"/>
      <c r="D34" s="70"/>
      <c r="E34" s="70"/>
      <c r="F34" s="71">
        <v>5.058</v>
      </c>
      <c r="H34" s="142"/>
      <c r="I34" s="25"/>
      <c r="J34" s="25"/>
      <c r="K34" s="25"/>
      <c r="L34" s="25"/>
      <c r="M34" s="25"/>
      <c r="N34" s="140"/>
    </row>
    <row r="35" spans="1:14" s="2" customFormat="1" ht="42" customHeight="1">
      <c r="A35" s="110" t="s">
        <v>39</v>
      </c>
      <c r="B35" s="5">
        <f t="shared" si="0"/>
        <v>66.935</v>
      </c>
      <c r="C35" s="17">
        <v>0</v>
      </c>
      <c r="D35" s="72"/>
      <c r="E35" s="17">
        <v>0</v>
      </c>
      <c r="F35" s="18">
        <v>66.935</v>
      </c>
      <c r="H35" s="142"/>
      <c r="I35" s="25"/>
      <c r="J35" s="25"/>
      <c r="K35" s="25"/>
      <c r="L35" s="35"/>
      <c r="M35" s="35"/>
      <c r="N35" s="140"/>
    </row>
    <row r="36" spans="1:14" s="2" customFormat="1" ht="19.5" customHeight="1">
      <c r="A36" s="98" t="s">
        <v>13</v>
      </c>
      <c r="B36" s="5">
        <f t="shared" si="0"/>
        <v>54.311</v>
      </c>
      <c r="C36" s="8"/>
      <c r="D36" s="8"/>
      <c r="E36" s="8"/>
      <c r="F36" s="9">
        <v>54.311</v>
      </c>
      <c r="H36" s="142"/>
      <c r="I36" s="25"/>
      <c r="J36" s="146"/>
      <c r="K36" s="146"/>
      <c r="L36" s="146"/>
      <c r="M36" s="31"/>
      <c r="N36" s="140"/>
    </row>
    <row r="37" spans="1:14" s="2" customFormat="1" ht="19.5" customHeight="1">
      <c r="A37" s="98" t="s">
        <v>10</v>
      </c>
      <c r="B37" s="5">
        <f t="shared" si="0"/>
        <v>12.624</v>
      </c>
      <c r="C37" s="17">
        <v>0</v>
      </c>
      <c r="D37" s="8"/>
      <c r="E37" s="17">
        <v>0</v>
      </c>
      <c r="F37" s="18">
        <v>12.624</v>
      </c>
      <c r="H37" s="142"/>
      <c r="I37" s="25"/>
      <c r="J37" s="146"/>
      <c r="K37" s="146"/>
      <c r="L37" s="146"/>
      <c r="M37" s="31"/>
      <c r="N37" s="140"/>
    </row>
    <row r="38" spans="1:14" s="2" customFormat="1" ht="24.75" customHeight="1">
      <c r="A38" s="98" t="s">
        <v>11</v>
      </c>
      <c r="B38" s="5">
        <f t="shared" si="0"/>
        <v>0</v>
      </c>
      <c r="C38" s="72"/>
      <c r="D38" s="72"/>
      <c r="E38" s="72"/>
      <c r="F38" s="12"/>
      <c r="H38" s="47"/>
      <c r="I38" s="25"/>
      <c r="J38" s="34"/>
      <c r="K38" s="25"/>
      <c r="L38" s="35"/>
      <c r="M38" s="35"/>
      <c r="N38" s="140"/>
    </row>
    <row r="39" spans="1:14" s="2" customFormat="1" ht="24.75" customHeight="1">
      <c r="A39" s="98" t="s">
        <v>12</v>
      </c>
      <c r="B39" s="5">
        <f t="shared" si="0"/>
        <v>12.624</v>
      </c>
      <c r="C39" s="72"/>
      <c r="D39" s="72"/>
      <c r="E39" s="72"/>
      <c r="F39" s="12">
        <v>12.624</v>
      </c>
      <c r="H39" s="142"/>
      <c r="I39" s="25"/>
      <c r="J39" s="25"/>
      <c r="K39" s="25"/>
      <c r="L39" s="35"/>
      <c r="M39" s="35"/>
      <c r="N39" s="140"/>
    </row>
    <row r="40" spans="1:14" s="2" customFormat="1" ht="24.75" customHeight="1">
      <c r="A40" s="110" t="s">
        <v>24</v>
      </c>
      <c r="B40" s="5">
        <f t="shared" si="0"/>
        <v>0</v>
      </c>
      <c r="C40" s="72">
        <v>0</v>
      </c>
      <c r="D40" s="72"/>
      <c r="E40" s="72">
        <v>0</v>
      </c>
      <c r="F40" s="18"/>
      <c r="H40" s="142"/>
      <c r="I40" s="25"/>
      <c r="J40" s="25"/>
      <c r="K40" s="25"/>
      <c r="L40" s="35"/>
      <c r="M40" s="35"/>
      <c r="N40" s="140"/>
    </row>
    <row r="41" spans="1:14" s="2" customFormat="1" ht="24.75" customHeight="1">
      <c r="A41" s="98" t="s">
        <v>13</v>
      </c>
      <c r="B41" s="5">
        <f t="shared" si="0"/>
        <v>0</v>
      </c>
      <c r="C41" s="8"/>
      <c r="D41" s="8"/>
      <c r="E41" s="8"/>
      <c r="F41" s="9"/>
      <c r="H41" s="142"/>
      <c r="I41" s="25"/>
      <c r="J41" s="34"/>
      <c r="K41" s="25"/>
      <c r="L41" s="34"/>
      <c r="M41" s="34"/>
      <c r="N41" s="140"/>
    </row>
    <row r="42" spans="1:14" s="2" customFormat="1" ht="24.75" customHeight="1">
      <c r="A42" s="98" t="s">
        <v>10</v>
      </c>
      <c r="B42" s="5">
        <f t="shared" si="0"/>
        <v>0</v>
      </c>
      <c r="C42" s="8"/>
      <c r="D42" s="8"/>
      <c r="E42" s="17">
        <v>0</v>
      </c>
      <c r="F42" s="18">
        <v>0</v>
      </c>
      <c r="H42" s="142"/>
      <c r="I42" s="25"/>
      <c r="J42" s="34"/>
      <c r="K42" s="25"/>
      <c r="L42" s="34"/>
      <c r="M42" s="34"/>
      <c r="N42" s="140"/>
    </row>
    <row r="43" spans="1:14" s="2" customFormat="1" ht="24.75" customHeight="1">
      <c r="A43" s="98" t="s">
        <v>11</v>
      </c>
      <c r="B43" s="5">
        <f t="shared" si="0"/>
        <v>0</v>
      </c>
      <c r="C43" s="72"/>
      <c r="D43" s="72"/>
      <c r="E43" s="72"/>
      <c r="F43" s="12"/>
      <c r="H43" s="47"/>
      <c r="I43" s="25"/>
      <c r="J43" s="25"/>
      <c r="K43" s="25"/>
      <c r="L43" s="25"/>
      <c r="M43" s="25"/>
      <c r="N43" s="140"/>
    </row>
    <row r="44" spans="1:14" s="2" customFormat="1" ht="24.75" customHeight="1">
      <c r="A44" s="98" t="s">
        <v>12</v>
      </c>
      <c r="B44" s="5">
        <f t="shared" si="0"/>
        <v>0</v>
      </c>
      <c r="C44" s="72"/>
      <c r="D44" s="72"/>
      <c r="E44" s="72"/>
      <c r="F44" s="12"/>
      <c r="H44" s="143"/>
      <c r="I44" s="25"/>
      <c r="J44" s="35"/>
      <c r="K44" s="25"/>
      <c r="L44" s="35"/>
      <c r="M44" s="35"/>
      <c r="N44" s="140"/>
    </row>
    <row r="45" spans="1:14" s="2" customFormat="1" ht="24.75" customHeight="1">
      <c r="A45" s="27" t="s">
        <v>26</v>
      </c>
      <c r="B45" s="5">
        <f t="shared" si="0"/>
        <v>493.596</v>
      </c>
      <c r="C45" s="10"/>
      <c r="D45" s="8"/>
      <c r="E45" s="17">
        <v>400.682</v>
      </c>
      <c r="F45" s="18">
        <v>92.914</v>
      </c>
      <c r="H45" s="144"/>
      <c r="I45" s="147"/>
      <c r="J45" s="148"/>
      <c r="K45" s="149"/>
      <c r="L45" s="149"/>
      <c r="M45" s="35"/>
      <c r="N45" s="140"/>
    </row>
    <row r="46" spans="1:14" s="2" customFormat="1" ht="24.75" customHeight="1">
      <c r="A46" s="98" t="s">
        <v>13</v>
      </c>
      <c r="B46" s="5">
        <f t="shared" si="0"/>
        <v>493.596</v>
      </c>
      <c r="C46" s="8"/>
      <c r="D46" s="8"/>
      <c r="E46" s="17">
        <v>400.682</v>
      </c>
      <c r="F46" s="18">
        <v>92.914</v>
      </c>
      <c r="H46" s="143"/>
      <c r="I46" s="150"/>
      <c r="J46" s="148"/>
      <c r="K46" s="149"/>
      <c r="L46" s="149"/>
      <c r="M46" s="35"/>
      <c r="N46" s="140"/>
    </row>
    <row r="47" spans="1:14" s="2" customFormat="1" ht="24.75" customHeight="1">
      <c r="A47" s="98" t="s">
        <v>10</v>
      </c>
      <c r="B47" s="5">
        <f t="shared" si="0"/>
        <v>0</v>
      </c>
      <c r="C47" s="8"/>
      <c r="D47" s="8"/>
      <c r="E47" s="17">
        <v>0</v>
      </c>
      <c r="F47" s="18">
        <v>0</v>
      </c>
      <c r="H47" s="151"/>
      <c r="I47" s="152"/>
      <c r="J47" s="153"/>
      <c r="K47" s="154"/>
      <c r="L47" s="154"/>
      <c r="M47" s="35"/>
      <c r="N47" s="140"/>
    </row>
    <row r="48" spans="1:14" s="2" customFormat="1" ht="21.75" customHeight="1">
      <c r="A48" s="98" t="s">
        <v>11</v>
      </c>
      <c r="B48" s="5">
        <f t="shared" si="0"/>
        <v>0</v>
      </c>
      <c r="C48" s="10"/>
      <c r="D48" s="8"/>
      <c r="E48" s="10"/>
      <c r="F48" s="14"/>
      <c r="H48" s="151"/>
      <c r="I48" s="152"/>
      <c r="J48" s="153"/>
      <c r="K48" s="152"/>
      <c r="L48" s="152"/>
      <c r="M48" s="35"/>
      <c r="N48" s="140"/>
    </row>
    <row r="49" spans="1:14" s="2" customFormat="1" ht="26.25" customHeight="1">
      <c r="A49" s="98" t="s">
        <v>12</v>
      </c>
      <c r="B49" s="5">
        <f t="shared" si="0"/>
        <v>0</v>
      </c>
      <c r="C49" s="10"/>
      <c r="D49" s="8"/>
      <c r="E49" s="10"/>
      <c r="F49" s="14"/>
      <c r="H49" s="151"/>
      <c r="I49" s="152"/>
      <c r="J49" s="153"/>
      <c r="K49" s="154"/>
      <c r="L49" s="154"/>
      <c r="M49" s="35"/>
      <c r="N49" s="140"/>
    </row>
    <row r="50" spans="1:14" s="2" customFormat="1" ht="26.25" customHeight="1">
      <c r="A50" s="27" t="s">
        <v>4</v>
      </c>
      <c r="B50" s="5">
        <f t="shared" si="0"/>
        <v>728.351</v>
      </c>
      <c r="C50" s="8">
        <v>728.351</v>
      </c>
      <c r="D50" s="8"/>
      <c r="E50" s="8"/>
      <c r="F50" s="9"/>
      <c r="H50" s="151"/>
      <c r="I50" s="152"/>
      <c r="J50" s="153"/>
      <c r="K50" s="152"/>
      <c r="L50" s="152"/>
      <c r="M50" s="35"/>
      <c r="N50" s="140"/>
    </row>
    <row r="51" spans="1:14" s="2" customFormat="1" ht="32.25" customHeight="1">
      <c r="A51" s="97" t="s">
        <v>48</v>
      </c>
      <c r="B51" s="5">
        <f t="shared" si="0"/>
        <v>728.351</v>
      </c>
      <c r="C51" s="17">
        <f>415.078+313.273</f>
        <v>728.351</v>
      </c>
      <c r="D51" s="8"/>
      <c r="E51" s="17">
        <v>0</v>
      </c>
      <c r="F51" s="18">
        <v>0</v>
      </c>
      <c r="H51" s="142"/>
      <c r="I51" s="25"/>
      <c r="J51" s="35"/>
      <c r="K51" s="25"/>
      <c r="L51" s="35"/>
      <c r="M51" s="35"/>
      <c r="N51" s="140"/>
    </row>
    <row r="52" spans="1:14" s="2" customFormat="1" ht="24.75" customHeight="1">
      <c r="A52" s="98" t="s">
        <v>10</v>
      </c>
      <c r="B52" s="5">
        <f t="shared" si="0"/>
        <v>0</v>
      </c>
      <c r="C52" s="17">
        <v>0</v>
      </c>
      <c r="D52" s="8"/>
      <c r="E52" s="17">
        <v>0</v>
      </c>
      <c r="F52" s="18">
        <v>0</v>
      </c>
      <c r="H52" s="142"/>
      <c r="I52" s="25"/>
      <c r="J52" s="135"/>
      <c r="K52" s="25"/>
      <c r="L52" s="25"/>
      <c r="M52" s="25"/>
      <c r="N52" s="140"/>
    </row>
    <row r="53" spans="1:14" s="2" customFormat="1" ht="21.75" customHeight="1">
      <c r="A53" s="98" t="s">
        <v>11</v>
      </c>
      <c r="B53" s="5">
        <f t="shared" si="0"/>
        <v>0</v>
      </c>
      <c r="C53" s="70"/>
      <c r="D53" s="8"/>
      <c r="E53" s="8"/>
      <c r="F53" s="9"/>
      <c r="H53" s="142"/>
      <c r="I53" s="25"/>
      <c r="J53" s="135"/>
      <c r="K53" s="25"/>
      <c r="L53" s="25"/>
      <c r="M53" s="25"/>
      <c r="N53" s="140"/>
    </row>
    <row r="54" spans="1:14" s="2" customFormat="1" ht="18" customHeight="1">
      <c r="A54" s="98" t="s">
        <v>12</v>
      </c>
      <c r="B54" s="5">
        <f t="shared" si="0"/>
        <v>0</v>
      </c>
      <c r="C54" s="70"/>
      <c r="D54" s="8"/>
      <c r="E54" s="8"/>
      <c r="F54" s="9"/>
      <c r="H54" s="141"/>
      <c r="I54" s="25"/>
      <c r="J54" s="35"/>
      <c r="K54" s="35"/>
      <c r="L54" s="35"/>
      <c r="M54" s="35"/>
      <c r="N54" s="140"/>
    </row>
    <row r="55" spans="1:14" s="2" customFormat="1" ht="74.25" customHeight="1">
      <c r="A55" s="110" t="s">
        <v>40</v>
      </c>
      <c r="B55" s="5">
        <f t="shared" si="0"/>
        <v>1517.7549999999999</v>
      </c>
      <c r="C55" s="17">
        <v>907.977</v>
      </c>
      <c r="D55" s="17">
        <v>0</v>
      </c>
      <c r="E55" s="17">
        <v>224.363</v>
      </c>
      <c r="F55" s="18">
        <v>385.415</v>
      </c>
      <c r="H55" s="143"/>
      <c r="I55" s="25"/>
      <c r="J55" s="35"/>
      <c r="K55" s="35"/>
      <c r="L55" s="35"/>
      <c r="M55" s="35"/>
      <c r="N55" s="140"/>
    </row>
    <row r="56" spans="1:14" s="2" customFormat="1" ht="39.75" customHeight="1">
      <c r="A56" s="97" t="s">
        <v>48</v>
      </c>
      <c r="B56" s="5">
        <f t="shared" si="0"/>
        <v>1236.1</v>
      </c>
      <c r="C56" s="17">
        <v>907.977</v>
      </c>
      <c r="D56" s="17"/>
      <c r="E56" s="17">
        <v>224.363</v>
      </c>
      <c r="F56" s="18">
        <v>103.76</v>
      </c>
      <c r="H56" s="143"/>
      <c r="I56" s="25"/>
      <c r="J56" s="155"/>
      <c r="K56" s="25"/>
      <c r="L56" s="25"/>
      <c r="M56" s="25"/>
      <c r="N56" s="140"/>
    </row>
    <row r="57" spans="1:14" s="33" customFormat="1" ht="23.25" customHeight="1">
      <c r="A57" s="98" t="s">
        <v>10</v>
      </c>
      <c r="B57" s="5">
        <f aca="true" t="shared" si="1" ref="B57:B114">C57+D57+E57+F57</f>
        <v>281.655</v>
      </c>
      <c r="C57" s="159"/>
      <c r="D57" s="8"/>
      <c r="E57" s="8"/>
      <c r="F57" s="18">
        <v>281.655</v>
      </c>
      <c r="H57" s="143"/>
      <c r="I57" s="150"/>
      <c r="J57" s="155"/>
      <c r="K57" s="123"/>
      <c r="L57" s="123"/>
      <c r="M57" s="145"/>
      <c r="N57" s="138"/>
    </row>
    <row r="58" spans="1:14" s="33" customFormat="1" ht="23.25" customHeight="1">
      <c r="A58" s="98" t="s">
        <v>11</v>
      </c>
      <c r="B58" s="5">
        <f t="shared" si="1"/>
        <v>255.075</v>
      </c>
      <c r="C58" s="159"/>
      <c r="D58" s="119"/>
      <c r="E58" s="119"/>
      <c r="F58" s="9">
        <v>255.075</v>
      </c>
      <c r="H58" s="142"/>
      <c r="I58" s="25"/>
      <c r="J58" s="35"/>
      <c r="K58" s="35"/>
      <c r="L58" s="35"/>
      <c r="M58" s="35"/>
      <c r="N58" s="138"/>
    </row>
    <row r="59" spans="1:14" s="33" customFormat="1" ht="23.25" customHeight="1">
      <c r="A59" s="98" t="s">
        <v>12</v>
      </c>
      <c r="B59" s="5">
        <f t="shared" si="1"/>
        <v>26.58</v>
      </c>
      <c r="C59" s="17">
        <v>0</v>
      </c>
      <c r="D59" s="17">
        <v>0</v>
      </c>
      <c r="E59" s="17">
        <v>0</v>
      </c>
      <c r="F59" s="9">
        <v>26.58</v>
      </c>
      <c r="H59" s="142"/>
      <c r="I59" s="25"/>
      <c r="J59" s="135"/>
      <c r="K59" s="25"/>
      <c r="L59" s="25"/>
      <c r="M59" s="25"/>
      <c r="N59" s="138"/>
    </row>
    <row r="60" spans="1:14" s="33" customFormat="1" ht="33" customHeight="1">
      <c r="A60" s="110" t="s">
        <v>25</v>
      </c>
      <c r="B60" s="5">
        <f t="shared" si="1"/>
        <v>1768.3600000000001</v>
      </c>
      <c r="C60" s="8">
        <v>1761.035</v>
      </c>
      <c r="D60" s="8"/>
      <c r="E60" s="8">
        <v>0</v>
      </c>
      <c r="F60" s="9">
        <v>7.325</v>
      </c>
      <c r="H60" s="142"/>
      <c r="I60" s="25"/>
      <c r="J60" s="135"/>
      <c r="K60" s="25"/>
      <c r="L60" s="25"/>
      <c r="M60" s="25"/>
      <c r="N60" s="138"/>
    </row>
    <row r="61" spans="1:14" s="33" customFormat="1" ht="30.75" customHeight="1">
      <c r="A61" s="98" t="s">
        <v>13</v>
      </c>
      <c r="B61" s="5">
        <f t="shared" si="1"/>
        <v>1768.3600000000001</v>
      </c>
      <c r="C61" s="90">
        <f>1761.035</f>
        <v>1761.035</v>
      </c>
      <c r="D61" s="90"/>
      <c r="E61" s="90"/>
      <c r="F61" s="84">
        <v>7.325</v>
      </c>
      <c r="H61" s="141"/>
      <c r="I61" s="25"/>
      <c r="J61" s="25"/>
      <c r="K61" s="25"/>
      <c r="L61" s="25"/>
      <c r="M61" s="25"/>
      <c r="N61" s="138"/>
    </row>
    <row r="62" spans="1:13" ht="28.5" customHeight="1">
      <c r="A62" s="98" t="s">
        <v>10</v>
      </c>
      <c r="B62" s="5">
        <f t="shared" si="1"/>
        <v>0</v>
      </c>
      <c r="C62" s="70"/>
      <c r="D62" s="8"/>
      <c r="E62" s="8">
        <v>0</v>
      </c>
      <c r="F62" s="9">
        <v>0</v>
      </c>
      <c r="H62" s="142"/>
      <c r="I62" s="25"/>
      <c r="J62" s="156"/>
      <c r="K62" s="156"/>
      <c r="L62" s="156"/>
      <c r="M62" s="156"/>
    </row>
    <row r="63" spans="1:13" ht="23.25">
      <c r="A63" s="98" t="s">
        <v>11</v>
      </c>
      <c r="B63" s="5">
        <f t="shared" si="1"/>
        <v>0</v>
      </c>
      <c r="C63" s="70"/>
      <c r="D63" s="8"/>
      <c r="E63" s="10"/>
      <c r="F63" s="14"/>
      <c r="H63" s="142"/>
      <c r="I63" s="25"/>
      <c r="J63" s="135"/>
      <c r="K63" s="25"/>
      <c r="L63" s="25"/>
      <c r="M63" s="25"/>
    </row>
    <row r="64" spans="1:13" ht="23.25">
      <c r="A64" s="98" t="s">
        <v>12</v>
      </c>
      <c r="B64" s="5">
        <f t="shared" si="1"/>
        <v>0</v>
      </c>
      <c r="C64" s="70"/>
      <c r="D64" s="8"/>
      <c r="E64" s="10"/>
      <c r="F64" s="14"/>
      <c r="H64" s="142"/>
      <c r="I64" s="25"/>
      <c r="J64" s="135"/>
      <c r="K64" s="25"/>
      <c r="L64" s="34"/>
      <c r="M64" s="34"/>
    </row>
    <row r="65" spans="1:13" ht="23.25">
      <c r="A65" s="110" t="s">
        <v>41</v>
      </c>
      <c r="B65" s="5">
        <f t="shared" si="1"/>
        <v>10.318</v>
      </c>
      <c r="C65" s="8">
        <v>0</v>
      </c>
      <c r="D65" s="8"/>
      <c r="E65" s="8">
        <v>10.318</v>
      </c>
      <c r="F65" s="9">
        <v>0</v>
      </c>
      <c r="H65" s="142"/>
      <c r="I65" s="25"/>
      <c r="J65" s="135"/>
      <c r="K65" s="25"/>
      <c r="L65" s="34"/>
      <c r="M65" s="34"/>
    </row>
    <row r="66" spans="1:13" ht="23.25">
      <c r="A66" s="98" t="s">
        <v>13</v>
      </c>
      <c r="B66" s="5">
        <f t="shared" si="1"/>
        <v>10.318</v>
      </c>
      <c r="C66" s="82"/>
      <c r="D66" s="82"/>
      <c r="E66" s="82">
        <v>10.318</v>
      </c>
      <c r="F66" s="83"/>
      <c r="H66" s="141"/>
      <c r="I66" s="25"/>
      <c r="J66" s="25"/>
      <c r="K66" s="25"/>
      <c r="L66" s="25"/>
      <c r="M66" s="25"/>
    </row>
    <row r="67" spans="1:13" ht="23.25">
      <c r="A67" s="98" t="s">
        <v>10</v>
      </c>
      <c r="B67" s="5">
        <f t="shared" si="1"/>
        <v>0</v>
      </c>
      <c r="C67" s="70"/>
      <c r="D67" s="8"/>
      <c r="E67" s="8">
        <v>0</v>
      </c>
      <c r="F67" s="9">
        <v>0</v>
      </c>
      <c r="H67" s="142"/>
      <c r="I67" s="25"/>
      <c r="J67" s="145"/>
      <c r="K67" s="145"/>
      <c r="L67" s="145"/>
      <c r="M67" s="145"/>
    </row>
    <row r="68" spans="1:13" ht="23.25">
      <c r="A68" s="98" t="s">
        <v>11</v>
      </c>
      <c r="B68" s="5">
        <f t="shared" si="1"/>
        <v>0</v>
      </c>
      <c r="C68" s="70"/>
      <c r="D68" s="8"/>
      <c r="E68" s="10"/>
      <c r="F68" s="14"/>
      <c r="H68" s="142"/>
      <c r="I68" s="25"/>
      <c r="J68" s="135"/>
      <c r="K68" s="25"/>
      <c r="L68" s="25"/>
      <c r="M68" s="25"/>
    </row>
    <row r="69" spans="1:13" ht="23.25">
      <c r="A69" s="98" t="s">
        <v>12</v>
      </c>
      <c r="B69" s="5">
        <f t="shared" si="1"/>
        <v>0</v>
      </c>
      <c r="C69" s="70"/>
      <c r="D69" s="8"/>
      <c r="E69" s="10"/>
      <c r="F69" s="14"/>
      <c r="H69" s="142"/>
      <c r="I69" s="25"/>
      <c r="J69" s="135"/>
      <c r="K69" s="25"/>
      <c r="L69" s="34"/>
      <c r="M69" s="34"/>
    </row>
    <row r="70" spans="1:13" ht="36">
      <c r="A70" s="110" t="s">
        <v>23</v>
      </c>
      <c r="B70" s="5">
        <f t="shared" si="1"/>
        <v>75.15100000000001</v>
      </c>
      <c r="C70" s="70"/>
      <c r="D70" s="8"/>
      <c r="E70" s="8">
        <v>0</v>
      </c>
      <c r="F70" s="9">
        <v>75.15100000000001</v>
      </c>
      <c r="H70" s="142"/>
      <c r="I70" s="25"/>
      <c r="J70" s="135"/>
      <c r="K70" s="25"/>
      <c r="L70" s="34"/>
      <c r="M70" s="34"/>
    </row>
    <row r="71" spans="1:13" ht="23.25">
      <c r="A71" s="98" t="s">
        <v>13</v>
      </c>
      <c r="B71" s="5">
        <f t="shared" si="1"/>
        <v>5.671</v>
      </c>
      <c r="C71" s="70"/>
      <c r="D71" s="8"/>
      <c r="E71" s="8"/>
      <c r="F71" s="84">
        <v>5.671</v>
      </c>
      <c r="H71" s="141"/>
      <c r="I71" s="25"/>
      <c r="J71" s="135"/>
      <c r="K71" s="25"/>
      <c r="L71" s="25"/>
      <c r="M71" s="25"/>
    </row>
    <row r="72" spans="1:13" ht="23.25">
      <c r="A72" s="98" t="s">
        <v>10</v>
      </c>
      <c r="B72" s="5">
        <f t="shared" si="1"/>
        <v>69.48</v>
      </c>
      <c r="C72" s="70"/>
      <c r="D72" s="8"/>
      <c r="E72" s="8">
        <v>0</v>
      </c>
      <c r="F72" s="9">
        <v>69.48</v>
      </c>
      <c r="H72" s="142"/>
      <c r="I72" s="25"/>
      <c r="J72" s="135"/>
      <c r="K72" s="25"/>
      <c r="L72" s="25"/>
      <c r="M72" s="156"/>
    </row>
    <row r="73" spans="1:13" ht="23.25">
      <c r="A73" s="98" t="s">
        <v>11</v>
      </c>
      <c r="B73" s="5">
        <f t="shared" si="1"/>
        <v>69.48</v>
      </c>
      <c r="C73" s="70"/>
      <c r="D73" s="8"/>
      <c r="E73" s="10"/>
      <c r="F73" s="14">
        <v>69.48</v>
      </c>
      <c r="H73" s="142"/>
      <c r="I73" s="25"/>
      <c r="J73" s="135"/>
      <c r="K73" s="25"/>
      <c r="L73" s="25"/>
      <c r="M73" s="25"/>
    </row>
    <row r="74" spans="1:13" ht="23.25">
      <c r="A74" s="98" t="s">
        <v>12</v>
      </c>
      <c r="B74" s="5">
        <f t="shared" si="1"/>
        <v>0</v>
      </c>
      <c r="C74" s="70"/>
      <c r="D74" s="8"/>
      <c r="E74" s="10"/>
      <c r="F74" s="14"/>
      <c r="H74" s="142"/>
      <c r="I74" s="25"/>
      <c r="J74" s="135"/>
      <c r="K74" s="25"/>
      <c r="L74" s="34"/>
      <c r="M74" s="34"/>
    </row>
    <row r="75" spans="1:13" ht="36">
      <c r="A75" s="110" t="s">
        <v>42</v>
      </c>
      <c r="B75" s="5">
        <f t="shared" si="1"/>
        <v>198.80499999999998</v>
      </c>
      <c r="C75" s="70"/>
      <c r="D75" s="8"/>
      <c r="E75" s="8">
        <v>10.7</v>
      </c>
      <c r="F75" s="9">
        <v>188.105</v>
      </c>
      <c r="H75" s="142"/>
      <c r="I75" s="25"/>
      <c r="J75" s="135"/>
      <c r="K75" s="25"/>
      <c r="L75" s="34"/>
      <c r="M75" s="34"/>
    </row>
    <row r="76" spans="1:13" ht="23.25">
      <c r="A76" s="98" t="s">
        <v>13</v>
      </c>
      <c r="B76" s="5">
        <f t="shared" si="1"/>
        <v>62.157</v>
      </c>
      <c r="C76" s="70"/>
      <c r="D76" s="8"/>
      <c r="E76" s="90">
        <v>10.7</v>
      </c>
      <c r="F76" s="18">
        <v>51.457</v>
      </c>
      <c r="H76" s="141"/>
      <c r="I76" s="25"/>
      <c r="J76" s="135"/>
      <c r="K76" s="25"/>
      <c r="L76" s="25"/>
      <c r="M76" s="25"/>
    </row>
    <row r="77" spans="1:13" ht="23.25">
      <c r="A77" s="98" t="s">
        <v>10</v>
      </c>
      <c r="B77" s="5">
        <f t="shared" si="1"/>
        <v>136.648</v>
      </c>
      <c r="C77" s="70"/>
      <c r="D77" s="8"/>
      <c r="E77" s="8">
        <v>0</v>
      </c>
      <c r="F77" s="9">
        <v>136.648</v>
      </c>
      <c r="H77" s="142"/>
      <c r="I77" s="25"/>
      <c r="J77" s="135"/>
      <c r="K77" s="25"/>
      <c r="L77" s="156"/>
      <c r="M77" s="35"/>
    </row>
    <row r="78" spans="1:13" ht="23.25">
      <c r="A78" s="98" t="s">
        <v>11</v>
      </c>
      <c r="B78" s="5">
        <f t="shared" si="1"/>
        <v>0</v>
      </c>
      <c r="C78" s="70"/>
      <c r="D78" s="8"/>
      <c r="E78" s="8"/>
      <c r="F78" s="9"/>
      <c r="H78" s="142"/>
      <c r="I78" s="25"/>
      <c r="J78" s="135"/>
      <c r="K78" s="25"/>
      <c r="L78" s="25"/>
      <c r="M78" s="25"/>
    </row>
    <row r="79" spans="1:13" ht="23.25">
      <c r="A79" s="98" t="s">
        <v>12</v>
      </c>
      <c r="B79" s="5">
        <f t="shared" si="1"/>
        <v>136.648</v>
      </c>
      <c r="C79" s="70"/>
      <c r="D79" s="8"/>
      <c r="E79" s="8"/>
      <c r="F79" s="9">
        <v>136.648</v>
      </c>
      <c r="H79" s="142"/>
      <c r="I79" s="25"/>
      <c r="J79" s="135"/>
      <c r="K79" s="25"/>
      <c r="L79" s="25"/>
      <c r="M79" s="25"/>
    </row>
    <row r="80" spans="1:13" ht="23.25">
      <c r="A80" s="110" t="s">
        <v>21</v>
      </c>
      <c r="B80" s="5">
        <f t="shared" si="1"/>
        <v>207.272</v>
      </c>
      <c r="C80" s="8">
        <v>0</v>
      </c>
      <c r="D80" s="8"/>
      <c r="E80" s="8">
        <v>207.272</v>
      </c>
      <c r="F80" s="9">
        <v>0</v>
      </c>
      <c r="H80" s="142"/>
      <c r="I80" s="25"/>
      <c r="J80" s="135"/>
      <c r="K80" s="25"/>
      <c r="L80" s="25"/>
      <c r="M80" s="25"/>
    </row>
    <row r="81" spans="1:13" ht="23.25">
      <c r="A81" s="98" t="s">
        <v>13</v>
      </c>
      <c r="B81" s="5">
        <f t="shared" si="1"/>
        <v>207.272</v>
      </c>
      <c r="C81" s="82"/>
      <c r="D81" s="82"/>
      <c r="E81" s="82">
        <v>207.272</v>
      </c>
      <c r="F81" s="83"/>
      <c r="H81" s="141"/>
      <c r="I81" s="25"/>
      <c r="J81" s="25"/>
      <c r="K81" s="25"/>
      <c r="L81" s="25"/>
      <c r="M81" s="25"/>
    </row>
    <row r="82" spans="1:13" ht="23.25">
      <c r="A82" s="98" t="s">
        <v>10</v>
      </c>
      <c r="B82" s="5">
        <f t="shared" si="1"/>
        <v>0</v>
      </c>
      <c r="C82" s="70"/>
      <c r="D82" s="8"/>
      <c r="E82" s="8">
        <v>0</v>
      </c>
      <c r="F82" s="9">
        <v>0</v>
      </c>
      <c r="H82" s="142"/>
      <c r="I82" s="25"/>
      <c r="J82" s="145"/>
      <c r="K82" s="145"/>
      <c r="L82" s="145"/>
      <c r="M82" s="145"/>
    </row>
    <row r="83" spans="1:13" ht="23.25">
      <c r="A83" s="98" t="s">
        <v>11</v>
      </c>
      <c r="B83" s="5">
        <f t="shared" si="1"/>
        <v>0</v>
      </c>
      <c r="C83" s="70"/>
      <c r="D83" s="8"/>
      <c r="E83" s="10"/>
      <c r="F83" s="14"/>
      <c r="H83" s="142"/>
      <c r="I83" s="25"/>
      <c r="J83" s="135"/>
      <c r="K83" s="25"/>
      <c r="L83" s="25"/>
      <c r="M83" s="25"/>
    </row>
    <row r="84" spans="1:13" ht="23.25">
      <c r="A84" s="98" t="s">
        <v>12</v>
      </c>
      <c r="B84" s="5">
        <f t="shared" si="1"/>
        <v>0</v>
      </c>
      <c r="C84" s="70"/>
      <c r="D84" s="8"/>
      <c r="E84" s="10"/>
      <c r="F84" s="14"/>
      <c r="H84" s="142"/>
      <c r="I84" s="25"/>
      <c r="J84" s="135"/>
      <c r="K84" s="25"/>
      <c r="L84" s="34"/>
      <c r="M84" s="34"/>
    </row>
    <row r="85" spans="1:13" ht="36">
      <c r="A85" s="110" t="s">
        <v>22</v>
      </c>
      <c r="B85" s="5">
        <f t="shared" si="1"/>
        <v>377.838</v>
      </c>
      <c r="C85" s="70"/>
      <c r="D85" s="8"/>
      <c r="E85" s="8">
        <v>377.838</v>
      </c>
      <c r="F85" s="9">
        <v>0</v>
      </c>
      <c r="H85" s="142"/>
      <c r="I85" s="25"/>
      <c r="J85" s="135"/>
      <c r="K85" s="25"/>
      <c r="L85" s="34"/>
      <c r="M85" s="34"/>
    </row>
    <row r="86" spans="1:13" ht="23.25">
      <c r="A86" s="98" t="s">
        <v>13</v>
      </c>
      <c r="B86" s="5">
        <f t="shared" si="1"/>
        <v>377.838</v>
      </c>
      <c r="C86" s="70"/>
      <c r="D86" s="8"/>
      <c r="E86" s="8">
        <v>377.838</v>
      </c>
      <c r="F86" s="84"/>
      <c r="H86" s="141"/>
      <c r="I86" s="25"/>
      <c r="J86" s="135"/>
      <c r="K86" s="25"/>
      <c r="L86" s="25"/>
      <c r="M86" s="25"/>
    </row>
    <row r="87" spans="1:13" ht="23.25">
      <c r="A87" s="98" t="s">
        <v>10</v>
      </c>
      <c r="B87" s="5">
        <f t="shared" si="1"/>
        <v>0</v>
      </c>
      <c r="C87" s="70"/>
      <c r="D87" s="8"/>
      <c r="E87" s="8">
        <v>0</v>
      </c>
      <c r="F87" s="9">
        <v>0</v>
      </c>
      <c r="H87" s="142"/>
      <c r="I87" s="25"/>
      <c r="J87" s="135"/>
      <c r="K87" s="25"/>
      <c r="L87" s="25"/>
      <c r="M87" s="156"/>
    </row>
    <row r="88" spans="1:13" ht="23.25">
      <c r="A88" s="98" t="s">
        <v>11</v>
      </c>
      <c r="B88" s="5">
        <f t="shared" si="1"/>
        <v>0</v>
      </c>
      <c r="C88" s="70"/>
      <c r="D88" s="8"/>
      <c r="E88" s="10"/>
      <c r="F88" s="14"/>
      <c r="H88" s="142"/>
      <c r="I88" s="25"/>
      <c r="J88" s="135"/>
      <c r="K88" s="25"/>
      <c r="L88" s="25"/>
      <c r="M88" s="25"/>
    </row>
    <row r="89" spans="1:13" ht="23.25">
      <c r="A89" s="98" t="s">
        <v>12</v>
      </c>
      <c r="B89" s="5">
        <f t="shared" si="1"/>
        <v>0</v>
      </c>
      <c r="C89" s="70"/>
      <c r="D89" s="8"/>
      <c r="E89" s="10"/>
      <c r="F89" s="14"/>
      <c r="H89" s="142"/>
      <c r="I89" s="25"/>
      <c r="J89" s="135"/>
      <c r="K89" s="25"/>
      <c r="L89" s="34"/>
      <c r="M89" s="34"/>
    </row>
    <row r="90" spans="1:13" ht="23.25">
      <c r="A90" s="110" t="s">
        <v>49</v>
      </c>
      <c r="B90" s="5">
        <f t="shared" si="1"/>
        <v>0</v>
      </c>
      <c r="C90" s="70"/>
      <c r="D90" s="8"/>
      <c r="E90" s="8">
        <v>0</v>
      </c>
      <c r="F90" s="9">
        <v>0</v>
      </c>
      <c r="H90" s="142"/>
      <c r="I90" s="25"/>
      <c r="J90" s="135"/>
      <c r="K90" s="25"/>
      <c r="L90" s="34"/>
      <c r="M90" s="34"/>
    </row>
    <row r="91" spans="1:13" ht="23.25">
      <c r="A91" s="98" t="s">
        <v>13</v>
      </c>
      <c r="B91" s="5">
        <f t="shared" si="1"/>
        <v>0</v>
      </c>
      <c r="C91" s="70"/>
      <c r="D91" s="8"/>
      <c r="E91" s="8"/>
      <c r="F91" s="84"/>
      <c r="H91" s="141"/>
      <c r="I91" s="25"/>
      <c r="J91" s="135"/>
      <c r="K91" s="25"/>
      <c r="L91" s="25"/>
      <c r="M91" s="25"/>
    </row>
    <row r="92" spans="1:13" ht="23.25">
      <c r="A92" s="98" t="s">
        <v>10</v>
      </c>
      <c r="B92" s="5">
        <f t="shared" si="1"/>
        <v>0</v>
      </c>
      <c r="C92" s="70"/>
      <c r="D92" s="8"/>
      <c r="E92" s="8">
        <v>0</v>
      </c>
      <c r="F92" s="9">
        <v>0</v>
      </c>
      <c r="H92" s="142"/>
      <c r="I92" s="25"/>
      <c r="J92" s="135"/>
      <c r="K92" s="25"/>
      <c r="L92" s="25"/>
      <c r="M92" s="156"/>
    </row>
    <row r="93" spans="1:13" ht="23.25">
      <c r="A93" s="98" t="s">
        <v>11</v>
      </c>
      <c r="B93" s="5">
        <f t="shared" si="1"/>
        <v>0</v>
      </c>
      <c r="C93" s="70"/>
      <c r="D93" s="8"/>
      <c r="E93" s="8"/>
      <c r="F93" s="9"/>
      <c r="H93" s="142"/>
      <c r="I93" s="25"/>
      <c r="J93" s="135"/>
      <c r="K93" s="25"/>
      <c r="L93" s="25"/>
      <c r="M93" s="25"/>
    </row>
    <row r="94" spans="1:13" ht="23.25">
      <c r="A94" s="98" t="s">
        <v>12</v>
      </c>
      <c r="B94" s="5">
        <f t="shared" si="1"/>
        <v>0</v>
      </c>
      <c r="C94" s="70"/>
      <c r="D94" s="8"/>
      <c r="E94" s="8"/>
      <c r="F94" s="9"/>
      <c r="H94" s="142"/>
      <c r="I94" s="25"/>
      <c r="J94" s="135"/>
      <c r="K94" s="25"/>
      <c r="L94" s="25"/>
      <c r="M94" s="25"/>
    </row>
    <row r="95" spans="1:13" ht="23.25">
      <c r="A95" s="110" t="s">
        <v>70</v>
      </c>
      <c r="B95" s="5">
        <f>C95+D95+E95+F95</f>
        <v>37.808</v>
      </c>
      <c r="C95" s="70"/>
      <c r="D95" s="8"/>
      <c r="E95" s="8">
        <v>37.808</v>
      </c>
      <c r="F95" s="9">
        <v>0</v>
      </c>
      <c r="H95" s="142"/>
      <c r="I95" s="25"/>
      <c r="J95" s="135"/>
      <c r="K95" s="25"/>
      <c r="L95" s="25"/>
      <c r="M95" s="25"/>
    </row>
    <row r="96" spans="1:13" ht="23.25">
      <c r="A96" s="98" t="s">
        <v>13</v>
      </c>
      <c r="B96" s="5">
        <f>C96+D96+E96+F96</f>
        <v>37.808</v>
      </c>
      <c r="C96" s="70"/>
      <c r="D96" s="8"/>
      <c r="E96" s="8">
        <v>37.808</v>
      </c>
      <c r="F96" s="84"/>
      <c r="H96" s="141"/>
      <c r="I96" s="25"/>
      <c r="J96" s="35"/>
      <c r="K96" s="25"/>
      <c r="L96" s="35"/>
      <c r="M96" s="35"/>
    </row>
    <row r="97" spans="1:13" ht="23.25">
      <c r="A97" s="98" t="s">
        <v>10</v>
      </c>
      <c r="B97" s="5">
        <f>C97+D97+E97+F97</f>
        <v>0</v>
      </c>
      <c r="C97" s="70"/>
      <c r="D97" s="8"/>
      <c r="E97" s="8">
        <v>0</v>
      </c>
      <c r="F97" s="9">
        <v>0</v>
      </c>
      <c r="H97" s="142"/>
      <c r="I97" s="25"/>
      <c r="J97" s="25"/>
      <c r="K97" s="25"/>
      <c r="L97" s="35"/>
      <c r="M97" s="35"/>
    </row>
    <row r="98" spans="1:13" ht="23.25">
      <c r="A98" s="98" t="s">
        <v>11</v>
      </c>
      <c r="B98" s="5">
        <f>C98+D98+E98+F98</f>
        <v>0</v>
      </c>
      <c r="C98" s="70"/>
      <c r="D98" s="8"/>
      <c r="E98" s="8"/>
      <c r="F98" s="9"/>
      <c r="H98" s="142"/>
      <c r="I98" s="25"/>
      <c r="J98" s="25"/>
      <c r="K98" s="25"/>
      <c r="L98" s="35"/>
      <c r="M98" s="35"/>
    </row>
    <row r="99" spans="1:13" ht="23.25">
      <c r="A99" s="98" t="s">
        <v>12</v>
      </c>
      <c r="B99" s="5">
        <f>C99+D99+E99+F99</f>
        <v>0</v>
      </c>
      <c r="C99" s="70"/>
      <c r="D99" s="8"/>
      <c r="E99" s="8"/>
      <c r="F99" s="9"/>
      <c r="H99" s="142"/>
      <c r="I99" s="25"/>
      <c r="J99" s="25"/>
      <c r="K99" s="25"/>
      <c r="L99" s="135"/>
      <c r="M99" s="135"/>
    </row>
    <row r="100" spans="1:13" ht="23.25">
      <c r="A100" s="110" t="s">
        <v>8</v>
      </c>
      <c r="B100" s="5">
        <f t="shared" si="1"/>
        <v>1356.23</v>
      </c>
      <c r="C100" s="17">
        <v>0</v>
      </c>
      <c r="D100" s="8"/>
      <c r="E100" s="17">
        <v>610.597</v>
      </c>
      <c r="F100" s="18">
        <v>745.633</v>
      </c>
      <c r="H100" s="142"/>
      <c r="I100" s="25"/>
      <c r="J100" s="25"/>
      <c r="K100" s="25"/>
      <c r="L100" s="135"/>
      <c r="M100" s="135"/>
    </row>
    <row r="101" spans="1:13" ht="23.25">
      <c r="A101" s="98" t="s">
        <v>13</v>
      </c>
      <c r="B101" s="5">
        <f t="shared" si="1"/>
        <v>615.7180000000001</v>
      </c>
      <c r="C101" s="8"/>
      <c r="D101" s="8"/>
      <c r="E101" s="17">
        <v>466.019</v>
      </c>
      <c r="F101" s="18">
        <v>149.699</v>
      </c>
      <c r="H101" s="141"/>
      <c r="I101" s="25"/>
      <c r="J101" s="35"/>
      <c r="K101" s="25"/>
      <c r="L101" s="35"/>
      <c r="M101" s="35"/>
    </row>
    <row r="102" spans="1:13" ht="23.25">
      <c r="A102" s="98" t="s">
        <v>10</v>
      </c>
      <c r="B102" s="5">
        <f t="shared" si="1"/>
        <v>740.512</v>
      </c>
      <c r="C102" s="8"/>
      <c r="D102" s="8"/>
      <c r="E102" s="17">
        <v>144.578</v>
      </c>
      <c r="F102" s="18">
        <v>595.934</v>
      </c>
      <c r="H102" s="142"/>
      <c r="I102" s="25"/>
      <c r="J102" s="35"/>
      <c r="K102" s="25"/>
      <c r="L102" s="35"/>
      <c r="M102" s="35"/>
    </row>
    <row r="103" spans="1:13" ht="23.25">
      <c r="A103" s="98" t="s">
        <v>11</v>
      </c>
      <c r="B103" s="5">
        <f t="shared" si="1"/>
        <v>614.207</v>
      </c>
      <c r="C103" s="8"/>
      <c r="D103" s="8"/>
      <c r="E103" s="70">
        <f>7.92+134.324</f>
        <v>142.244</v>
      </c>
      <c r="F103" s="71">
        <f>55.24+416.723</f>
        <v>471.963</v>
      </c>
      <c r="H103" s="142"/>
      <c r="I103" s="25"/>
      <c r="J103" s="25"/>
      <c r="K103" s="25"/>
      <c r="L103" s="35"/>
      <c r="M103" s="35"/>
    </row>
    <row r="104" spans="1:13" ht="23.25">
      <c r="A104" s="98" t="s">
        <v>12</v>
      </c>
      <c r="B104" s="5">
        <f t="shared" si="1"/>
        <v>126.305</v>
      </c>
      <c r="C104" s="8"/>
      <c r="D104" s="8"/>
      <c r="E104" s="70">
        <v>2.334</v>
      </c>
      <c r="F104" s="71">
        <v>123.971</v>
      </c>
      <c r="H104" s="142"/>
      <c r="I104" s="25"/>
      <c r="J104" s="135"/>
      <c r="K104" s="135"/>
      <c r="L104" s="135"/>
      <c r="M104" s="135"/>
    </row>
    <row r="105" spans="1:13" ht="23.25">
      <c r="A105" s="110" t="s">
        <v>5</v>
      </c>
      <c r="B105" s="5">
        <f t="shared" si="1"/>
        <v>2845.7110000000002</v>
      </c>
      <c r="C105" s="17">
        <v>316.952</v>
      </c>
      <c r="D105" s="8"/>
      <c r="E105" s="17">
        <v>1758.563</v>
      </c>
      <c r="F105" s="18">
        <v>770.1959999999999</v>
      </c>
      <c r="H105" s="142"/>
      <c r="I105" s="25"/>
      <c r="J105" s="135"/>
      <c r="K105" s="135"/>
      <c r="L105" s="135"/>
      <c r="M105" s="135"/>
    </row>
    <row r="106" spans="1:13" ht="23.25">
      <c r="A106" s="98" t="s">
        <v>13</v>
      </c>
      <c r="B106" s="5">
        <f t="shared" si="1"/>
        <v>1929.735</v>
      </c>
      <c r="C106" s="17">
        <v>316.952</v>
      </c>
      <c r="D106" s="8"/>
      <c r="E106" s="17">
        <v>1344.434</v>
      </c>
      <c r="F106" s="18">
        <v>268.349</v>
      </c>
      <c r="H106" s="141"/>
      <c r="I106" s="25"/>
      <c r="J106" s="35"/>
      <c r="K106" s="25"/>
      <c r="L106" s="35"/>
      <c r="M106" s="35"/>
    </row>
    <row r="107" spans="1:13" ht="23.25">
      <c r="A107" s="98" t="s">
        <v>10</v>
      </c>
      <c r="B107" s="5">
        <f t="shared" si="1"/>
        <v>915.976</v>
      </c>
      <c r="C107" s="8"/>
      <c r="D107" s="8"/>
      <c r="E107" s="17">
        <v>414.129</v>
      </c>
      <c r="F107" s="18">
        <v>501.847</v>
      </c>
      <c r="H107" s="142"/>
      <c r="I107" s="25"/>
      <c r="J107" s="25"/>
      <c r="K107" s="25"/>
      <c r="L107" s="35"/>
      <c r="M107" s="35"/>
    </row>
    <row r="108" spans="1:13" ht="23.25">
      <c r="A108" s="98" t="s">
        <v>11</v>
      </c>
      <c r="B108" s="5">
        <f t="shared" si="1"/>
        <v>909.448</v>
      </c>
      <c r="C108" s="70"/>
      <c r="D108" s="70"/>
      <c r="E108" s="70">
        <f>45.292+362.309</f>
        <v>407.601</v>
      </c>
      <c r="F108" s="71">
        <f>68.656+433.191</f>
        <v>501.847</v>
      </c>
      <c r="H108" s="142"/>
      <c r="I108" s="25"/>
      <c r="J108" s="25"/>
      <c r="K108" s="25"/>
      <c r="L108" s="35"/>
      <c r="M108" s="35"/>
    </row>
    <row r="109" spans="1:13" ht="23.25">
      <c r="A109" s="98" t="s">
        <v>12</v>
      </c>
      <c r="B109" s="5">
        <f t="shared" si="1"/>
        <v>6.528</v>
      </c>
      <c r="C109" s="70"/>
      <c r="D109" s="70"/>
      <c r="E109" s="70">
        <v>6.528</v>
      </c>
      <c r="F109" s="71"/>
      <c r="H109" s="142"/>
      <c r="I109" s="25"/>
      <c r="J109" s="34"/>
      <c r="K109" s="25"/>
      <c r="L109" s="135"/>
      <c r="M109" s="135"/>
    </row>
    <row r="110" spans="1:13" ht="36">
      <c r="A110" s="110" t="s">
        <v>43</v>
      </c>
      <c r="B110" s="5">
        <f t="shared" si="1"/>
        <v>4997.245</v>
      </c>
      <c r="C110" s="17"/>
      <c r="D110" s="8"/>
      <c r="E110" s="17">
        <v>1041.25</v>
      </c>
      <c r="F110" s="18">
        <v>3955.995</v>
      </c>
      <c r="H110" s="142"/>
      <c r="I110" s="25"/>
      <c r="J110" s="34"/>
      <c r="K110" s="25"/>
      <c r="L110" s="135"/>
      <c r="M110" s="135"/>
    </row>
    <row r="111" spans="1:13" ht="23.25">
      <c r="A111" s="98" t="s">
        <v>13</v>
      </c>
      <c r="B111" s="5">
        <f t="shared" si="1"/>
        <v>2193.83</v>
      </c>
      <c r="C111" s="8"/>
      <c r="D111" s="8"/>
      <c r="E111" s="17">
        <v>1009.383</v>
      </c>
      <c r="F111" s="18">
        <v>1184.447</v>
      </c>
      <c r="H111" s="142"/>
      <c r="I111" s="25"/>
      <c r="J111" s="35"/>
      <c r="K111" s="35"/>
      <c r="L111" s="35"/>
      <c r="M111" s="35"/>
    </row>
    <row r="112" spans="1:13" ht="23.25">
      <c r="A112" s="98" t="s">
        <v>10</v>
      </c>
      <c r="B112" s="5">
        <f t="shared" si="1"/>
        <v>2803.4150000000004</v>
      </c>
      <c r="C112" s="8"/>
      <c r="D112" s="8"/>
      <c r="E112" s="17">
        <v>31.867</v>
      </c>
      <c r="F112" s="18">
        <v>2771.5480000000002</v>
      </c>
      <c r="H112" s="142"/>
      <c r="I112" s="25"/>
      <c r="J112" s="35"/>
      <c r="K112" s="35"/>
      <c r="L112" s="35"/>
      <c r="M112" s="35"/>
    </row>
    <row r="113" spans="1:13" ht="23.25">
      <c r="A113" s="98" t="s">
        <v>11</v>
      </c>
      <c r="B113" s="5">
        <f t="shared" si="1"/>
        <v>271.157</v>
      </c>
      <c r="C113" s="8"/>
      <c r="D113" s="8"/>
      <c r="E113" s="70">
        <v>12.712</v>
      </c>
      <c r="F113" s="71">
        <v>258.445</v>
      </c>
      <c r="H113" s="142"/>
      <c r="I113" s="25"/>
      <c r="J113" s="35"/>
      <c r="K113" s="35"/>
      <c r="L113" s="35"/>
      <c r="M113" s="35"/>
    </row>
    <row r="114" spans="1:13" ht="24" thickBot="1">
      <c r="A114" s="99" t="s">
        <v>12</v>
      </c>
      <c r="B114" s="29">
        <f t="shared" si="1"/>
        <v>2532.2580000000003</v>
      </c>
      <c r="C114" s="19"/>
      <c r="D114" s="19"/>
      <c r="E114" s="86">
        <v>19.155</v>
      </c>
      <c r="F114" s="87">
        <v>2513.103</v>
      </c>
      <c r="H114" s="142"/>
      <c r="I114" s="25"/>
      <c r="J114" s="35"/>
      <c r="K114" s="35"/>
      <c r="L114" s="35"/>
      <c r="M114" s="35"/>
    </row>
    <row r="115" spans="1:14" ht="18.75" thickBot="1">
      <c r="A115" s="105"/>
      <c r="B115" s="106"/>
      <c r="C115" s="106"/>
      <c r="D115" s="106"/>
      <c r="E115" s="106"/>
      <c r="F115" s="106"/>
      <c r="H115" s="3"/>
      <c r="I115"/>
      <c r="J115"/>
      <c r="K115"/>
      <c r="L115"/>
      <c r="M115"/>
      <c r="N115"/>
    </row>
    <row r="116" spans="1:14" ht="31.5" customHeight="1" thickBot="1">
      <c r="A116" s="26" t="s">
        <v>50</v>
      </c>
      <c r="B116" s="113">
        <f>C116+D116+E116+F116</f>
        <v>98052.193</v>
      </c>
      <c r="C116" s="118">
        <f>C110+C105+C100+C95+C90+C85+C80+C75+C70+C65+C60+C55+C50+C45+C40+C35+C30+C25+C20+C15+C10+C5</f>
        <v>39901.350999999995</v>
      </c>
      <c r="D116" s="118">
        <f>D110+D105+D100+D95+D90+D85+D80+D75+D70+D65+D60+D55+D50+D45+D40+D35+D30+D25+D20+D15+D10+D5</f>
        <v>1211.032</v>
      </c>
      <c r="E116" s="118">
        <f>E110+E105+E100+E95+E90+E85+E80+E75+E70+E65+E60+E55+E50+E45+E40+E35+E30+E25+E20+E15+E10+E5</f>
        <v>22739.438000000002</v>
      </c>
      <c r="F116" s="118">
        <f>F110+F105+F100+F95+F90+F85+F80+F75+F70+F65+F60+F55+F50+F45+F40+F35+F30+F25+F20+F15+F10+F5</f>
        <v>34200.372</v>
      </c>
      <c r="H116" s="3"/>
      <c r="I116"/>
      <c r="J116"/>
      <c r="K116"/>
      <c r="L116"/>
      <c r="M116"/>
      <c r="N116"/>
    </row>
    <row r="117" spans="2:6" ht="23.25">
      <c r="B117" s="158"/>
      <c r="C117" s="158"/>
      <c r="D117" s="158"/>
      <c r="E117" s="158"/>
      <c r="F117" s="158"/>
    </row>
    <row r="118" spans="2:6" ht="23.25">
      <c r="B118" s="158"/>
      <c r="C118" s="158"/>
      <c r="D118" s="158"/>
      <c r="E118" s="108"/>
      <c r="F118" s="108"/>
    </row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3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6"/>
  <sheetViews>
    <sheetView zoomScale="60" zoomScaleNormal="60" zoomScalePageLayoutView="0" workbookViewId="0" topLeftCell="A1">
      <pane xSplit="1" ySplit="4" topLeftCell="B7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14" sqref="F114"/>
    </sheetView>
  </sheetViews>
  <sheetFormatPr defaultColWidth="9.00390625" defaultRowHeight="12.75"/>
  <cols>
    <col min="1" max="1" width="58.375" style="0" customWidth="1"/>
    <col min="2" max="6" width="25.25390625" style="0" customWidth="1"/>
    <col min="7" max="7" width="11.75390625" style="0" customWidth="1"/>
    <col min="8" max="8" width="27.00390625" style="0" customWidth="1"/>
    <col min="9" max="9" width="19.375" style="0" customWidth="1"/>
  </cols>
  <sheetData>
    <row r="1" spans="1:6" s="36" customFormat="1" ht="47.25" customHeight="1">
      <c r="A1" s="185" t="s">
        <v>29</v>
      </c>
      <c r="B1" s="185"/>
      <c r="C1" s="185"/>
      <c r="D1" s="185"/>
      <c r="E1" s="185"/>
      <c r="F1" s="185"/>
    </row>
    <row r="2" spans="1:6" s="37" customFormat="1" ht="23.25">
      <c r="A2" s="186" t="s">
        <v>63</v>
      </c>
      <c r="B2" s="186"/>
      <c r="C2" s="186"/>
      <c r="D2" s="188"/>
      <c r="E2" s="188"/>
      <c r="F2" s="188"/>
    </row>
    <row r="3" s="3" customFormat="1" ht="18.75" thickBot="1">
      <c r="F3" s="56" t="s">
        <v>28</v>
      </c>
    </row>
    <row r="4" spans="1:14" s="1" customFormat="1" ht="29.25" customHeight="1" thickBot="1">
      <c r="A4" s="38" t="s">
        <v>44</v>
      </c>
      <c r="B4" s="53"/>
      <c r="C4" s="42" t="s">
        <v>0</v>
      </c>
      <c r="D4" s="42" t="s">
        <v>1</v>
      </c>
      <c r="E4" s="42" t="s">
        <v>2</v>
      </c>
      <c r="F4" s="43" t="s">
        <v>3</v>
      </c>
      <c r="H4" s="142"/>
      <c r="I4" s="25"/>
      <c r="J4" s="135"/>
      <c r="K4" s="135"/>
      <c r="L4" s="135"/>
      <c r="M4" s="135"/>
      <c r="N4" s="140"/>
    </row>
    <row r="5" spans="1:14" s="2" customFormat="1" ht="45.75" customHeight="1">
      <c r="A5" s="109" t="s">
        <v>35</v>
      </c>
      <c r="B5" s="44">
        <f>C5+D5+E5+F5</f>
        <v>207760.76799999998</v>
      </c>
      <c r="C5" s="74">
        <f>'апрель факт'!C5+'май факт'!C5+'июнь факт'!C5</f>
        <v>83377.86200000001</v>
      </c>
      <c r="D5" s="74">
        <f>'апрель факт'!D5+'май факт'!D5+'июнь факт'!D5</f>
        <v>3475.389</v>
      </c>
      <c r="E5" s="74">
        <f>'апрель факт'!E5+'май факт'!E5+'июнь факт'!E5</f>
        <v>50050.53999999999</v>
      </c>
      <c r="F5" s="75">
        <f>'апрель факт'!F5+'май факт'!F5+'июнь факт'!F5</f>
        <v>70856.977</v>
      </c>
      <c r="H5" s="142"/>
      <c r="I5" s="25"/>
      <c r="J5" s="135"/>
      <c r="K5" s="135"/>
      <c r="L5" s="135"/>
      <c r="M5" s="135"/>
      <c r="N5" s="140"/>
    </row>
    <row r="6" spans="1:14" s="2" customFormat="1" ht="24.75" customHeight="1">
      <c r="A6" s="97" t="s">
        <v>47</v>
      </c>
      <c r="B6" s="5">
        <f aca="true" t="shared" si="0" ref="B6:B69">C6+D6+E6+F6</f>
        <v>159924.448</v>
      </c>
      <c r="C6" s="17">
        <f>'апрель факт'!C6+'май факт'!C6+'июнь факт'!C6</f>
        <v>83273.45199999999</v>
      </c>
      <c r="D6" s="17">
        <f>'апрель факт'!D6+'май факт'!D6+'июнь факт'!D6</f>
        <v>3471.2690000000002</v>
      </c>
      <c r="E6" s="17">
        <f>'апрель факт'!E6+'май факт'!E6+'июнь факт'!E6</f>
        <v>47529.239</v>
      </c>
      <c r="F6" s="18">
        <f>'апрель факт'!F6+'май факт'!F6+'июнь факт'!F6</f>
        <v>25650.488</v>
      </c>
      <c r="H6" s="141"/>
      <c r="I6" s="25"/>
      <c r="J6" s="35"/>
      <c r="K6" s="25"/>
      <c r="L6" s="25"/>
      <c r="M6" s="25"/>
      <c r="N6" s="140"/>
    </row>
    <row r="7" spans="1:14" s="2" customFormat="1" ht="19.5" customHeight="1">
      <c r="A7" s="98" t="s">
        <v>10</v>
      </c>
      <c r="B7" s="5">
        <f t="shared" si="0"/>
        <v>47836.32</v>
      </c>
      <c r="C7" s="17">
        <f>'апрель факт'!C7+'май факт'!C7+'июнь факт'!C7</f>
        <v>104.41</v>
      </c>
      <c r="D7" s="17">
        <f>'апрель факт'!D7+'май факт'!D7+'июнь факт'!D7</f>
        <v>4.12</v>
      </c>
      <c r="E7" s="17">
        <f>'апрель факт'!E7+'май факт'!E7+'июнь факт'!E7</f>
        <v>2521.301</v>
      </c>
      <c r="F7" s="18">
        <f>'апрель факт'!F7+'май факт'!F7+'июнь факт'!F7</f>
        <v>45206.489</v>
      </c>
      <c r="H7" s="142"/>
      <c r="I7" s="25"/>
      <c r="J7" s="25"/>
      <c r="K7" s="25"/>
      <c r="L7" s="35"/>
      <c r="M7" s="35"/>
      <c r="N7" s="140"/>
    </row>
    <row r="8" spans="1:14" s="2" customFormat="1" ht="17.25" customHeight="1">
      <c r="A8" s="98" t="s">
        <v>11</v>
      </c>
      <c r="B8" s="5">
        <f t="shared" si="0"/>
        <v>13387.635999999999</v>
      </c>
      <c r="C8" s="17">
        <f>'апрель факт'!C8+'май факт'!C8+'июнь факт'!C8</f>
        <v>40.141</v>
      </c>
      <c r="D8" s="17">
        <f>'апрель факт'!D8+'май факт'!D8+'июнь факт'!D8</f>
        <v>0</v>
      </c>
      <c r="E8" s="17">
        <f>'апрель факт'!E8+'май факт'!E8+'июнь факт'!E8</f>
        <v>546.0120000000001</v>
      </c>
      <c r="F8" s="18">
        <f>'апрель факт'!F8+'май факт'!F8+'июнь факт'!F8</f>
        <v>12801.482999999998</v>
      </c>
      <c r="H8" s="142"/>
      <c r="I8" s="25"/>
      <c r="J8" s="35"/>
      <c r="K8" s="25"/>
      <c r="L8" s="35"/>
      <c r="M8" s="35"/>
      <c r="N8" s="140"/>
    </row>
    <row r="9" spans="1:14" s="2" customFormat="1" ht="17.25" customHeight="1">
      <c r="A9" s="98" t="s">
        <v>12</v>
      </c>
      <c r="B9" s="5">
        <f t="shared" si="0"/>
        <v>34448.684</v>
      </c>
      <c r="C9" s="17">
        <f>'апрель факт'!C9+'май факт'!C9+'июнь факт'!C9</f>
        <v>64.269</v>
      </c>
      <c r="D9" s="17">
        <f>'апрель факт'!D9+'май факт'!D9+'июнь факт'!D9</f>
        <v>4.12</v>
      </c>
      <c r="E9" s="17">
        <f>'апрель факт'!E9+'май факт'!E9+'июнь факт'!E9</f>
        <v>1975.289</v>
      </c>
      <c r="F9" s="18">
        <f>'апрель факт'!F9+'май факт'!F9+'июнь факт'!F9</f>
        <v>32405.006</v>
      </c>
      <c r="H9" s="142"/>
      <c r="I9" s="25"/>
      <c r="J9" s="135"/>
      <c r="K9" s="135"/>
      <c r="L9" s="135"/>
      <c r="M9" s="135"/>
      <c r="N9" s="140"/>
    </row>
    <row r="10" spans="1:14" s="2" customFormat="1" ht="35.25" customHeight="1">
      <c r="A10" s="110" t="s">
        <v>36</v>
      </c>
      <c r="B10" s="5">
        <f t="shared" si="0"/>
        <v>15366.312000000002</v>
      </c>
      <c r="C10" s="17">
        <f>'апрель факт'!C10+'май факт'!C10+'июнь факт'!C10</f>
        <v>2183.8</v>
      </c>
      <c r="D10" s="17">
        <f>'апрель факт'!D10+'май факт'!D10+'июнь факт'!D10</f>
        <v>0</v>
      </c>
      <c r="E10" s="17">
        <f>'апрель факт'!E10+'май факт'!E10+'июнь факт'!E10</f>
        <v>5149.6990000000005</v>
      </c>
      <c r="F10" s="18">
        <f>'апрель факт'!F10+'май факт'!F10+'июнь факт'!F10</f>
        <v>8032.813</v>
      </c>
      <c r="H10" s="142"/>
      <c r="I10" s="25"/>
      <c r="J10" s="135"/>
      <c r="K10" s="135"/>
      <c r="L10" s="135"/>
      <c r="M10" s="135"/>
      <c r="N10" s="140"/>
    </row>
    <row r="11" spans="1:14" s="2" customFormat="1" ht="19.5" customHeight="1">
      <c r="A11" s="98" t="s">
        <v>13</v>
      </c>
      <c r="B11" s="5">
        <f t="shared" si="0"/>
        <v>9375.373</v>
      </c>
      <c r="C11" s="17">
        <f>'апрель факт'!C11+'май факт'!C11+'июнь факт'!C11</f>
        <v>1928.5100000000002</v>
      </c>
      <c r="D11" s="17">
        <f>'апрель факт'!D11+'май факт'!D11+'июнь факт'!D11</f>
        <v>0</v>
      </c>
      <c r="E11" s="17">
        <f>'апрель факт'!E11+'май факт'!E11+'июнь факт'!E11</f>
        <v>4344.385</v>
      </c>
      <c r="F11" s="18">
        <f>'апрель факт'!F11+'май факт'!F11+'июнь факт'!F11</f>
        <v>3102.478</v>
      </c>
      <c r="H11" s="141"/>
      <c r="I11" s="25"/>
      <c r="J11" s="35"/>
      <c r="K11" s="35"/>
      <c r="L11" s="35"/>
      <c r="M11" s="35"/>
      <c r="N11" s="140"/>
    </row>
    <row r="12" spans="1:14" s="2" customFormat="1" ht="18" customHeight="1">
      <c r="A12" s="98" t="s">
        <v>10</v>
      </c>
      <c r="B12" s="5">
        <f t="shared" si="0"/>
        <v>5990.939</v>
      </c>
      <c r="C12" s="17">
        <f>'апрель факт'!C12+'май факт'!C12+'июнь факт'!C12</f>
        <v>255.28999999999996</v>
      </c>
      <c r="D12" s="17">
        <f>'апрель факт'!D12+'май факт'!D12+'июнь факт'!D12</f>
        <v>0</v>
      </c>
      <c r="E12" s="17">
        <f>'апрель факт'!E12+'май факт'!E12+'июнь факт'!E12</f>
        <v>805.3140000000001</v>
      </c>
      <c r="F12" s="18">
        <f>'апрель факт'!F12+'май факт'!F12+'июнь факт'!F12</f>
        <v>4930.335</v>
      </c>
      <c r="H12" s="142"/>
      <c r="I12" s="25"/>
      <c r="J12" s="25"/>
      <c r="K12" s="25"/>
      <c r="L12" s="25"/>
      <c r="M12" s="25"/>
      <c r="N12" s="140"/>
    </row>
    <row r="13" spans="1:14" s="2" customFormat="1" ht="19.5" customHeight="1">
      <c r="A13" s="98" t="s">
        <v>11</v>
      </c>
      <c r="B13" s="5">
        <f t="shared" si="0"/>
        <v>3571.6369999999997</v>
      </c>
      <c r="C13" s="17">
        <f>'апрель факт'!C13+'май факт'!C13+'июнь факт'!C13</f>
        <v>0</v>
      </c>
      <c r="D13" s="17">
        <f>'апрель факт'!D13+'май факт'!D13+'июнь факт'!D13</f>
        <v>0</v>
      </c>
      <c r="E13" s="17">
        <f>'апрель факт'!E13+'май факт'!E13+'июнь факт'!E13</f>
        <v>151.757</v>
      </c>
      <c r="F13" s="18">
        <f>'апрель факт'!F13+'май факт'!F13+'июнь факт'!F13</f>
        <v>3419.8799999999997</v>
      </c>
      <c r="H13" s="142"/>
      <c r="I13" s="25"/>
      <c r="J13" s="25"/>
      <c r="K13" s="25"/>
      <c r="L13" s="35"/>
      <c r="M13" s="35"/>
      <c r="N13" s="140"/>
    </row>
    <row r="14" spans="1:14" s="2" customFormat="1" ht="19.5" customHeight="1">
      <c r="A14" s="98" t="s">
        <v>12</v>
      </c>
      <c r="B14" s="5">
        <f t="shared" si="0"/>
        <v>2419.3019999999997</v>
      </c>
      <c r="C14" s="17">
        <f>'апрель факт'!C14+'май факт'!C14+'июнь факт'!C14</f>
        <v>255.28999999999996</v>
      </c>
      <c r="D14" s="17">
        <f>'апрель факт'!D14+'май факт'!D14+'июнь факт'!D14</f>
        <v>0</v>
      </c>
      <c r="E14" s="17">
        <f>'апрель факт'!E14+'май факт'!E14+'июнь факт'!E14</f>
        <v>653.557</v>
      </c>
      <c r="F14" s="18">
        <f>'апрель факт'!F14+'май факт'!F14+'июнь факт'!F14</f>
        <v>1510.455</v>
      </c>
      <c r="H14" s="142"/>
      <c r="I14" s="25"/>
      <c r="J14" s="135"/>
      <c r="K14" s="135"/>
      <c r="L14" s="135"/>
      <c r="M14" s="135"/>
      <c r="N14" s="140"/>
    </row>
    <row r="15" spans="1:14" s="2" customFormat="1" ht="36" customHeight="1">
      <c r="A15" s="110" t="s">
        <v>6</v>
      </c>
      <c r="B15" s="5">
        <f t="shared" si="0"/>
        <v>2953.716</v>
      </c>
      <c r="C15" s="17">
        <f>'апрель факт'!C15+'май факт'!C15+'июнь факт'!C15</f>
        <v>2953.716</v>
      </c>
      <c r="D15" s="17">
        <f>'апрель факт'!D15+'май факт'!D15+'июнь факт'!D15</f>
        <v>0</v>
      </c>
      <c r="E15" s="17">
        <f>'апрель факт'!E15+'май факт'!E15+'июнь факт'!E15</f>
        <v>0</v>
      </c>
      <c r="F15" s="18">
        <f>'апрель факт'!F15+'май факт'!F15+'июнь факт'!F15</f>
        <v>0</v>
      </c>
      <c r="H15" s="142"/>
      <c r="I15" s="25"/>
      <c r="J15" s="135"/>
      <c r="K15" s="135"/>
      <c r="L15" s="135"/>
      <c r="M15" s="135"/>
      <c r="N15" s="140"/>
    </row>
    <row r="16" spans="1:14" s="2" customFormat="1" ht="21.75" customHeight="1">
      <c r="A16" s="98" t="s">
        <v>13</v>
      </c>
      <c r="B16" s="5">
        <f t="shared" si="0"/>
        <v>2952.8399999999997</v>
      </c>
      <c r="C16" s="17">
        <f>'апрель факт'!C16+'май факт'!C16+'июнь факт'!C16</f>
        <v>2952.8399999999997</v>
      </c>
      <c r="D16" s="17">
        <f>'апрель факт'!D16+'май факт'!D16+'июнь факт'!D16</f>
        <v>0</v>
      </c>
      <c r="E16" s="17">
        <f>'апрель факт'!E16+'май факт'!E16+'июнь факт'!E16</f>
        <v>0</v>
      </c>
      <c r="F16" s="18">
        <f>'апрель факт'!F16+'май факт'!F16+'июнь факт'!F16</f>
        <v>0</v>
      </c>
      <c r="H16" s="141"/>
      <c r="I16" s="25"/>
      <c r="J16" s="35"/>
      <c r="K16" s="35"/>
      <c r="L16" s="35"/>
      <c r="M16" s="35"/>
      <c r="N16" s="140"/>
    </row>
    <row r="17" spans="1:14" s="2" customFormat="1" ht="21" customHeight="1">
      <c r="A17" s="98" t="s">
        <v>10</v>
      </c>
      <c r="B17" s="5">
        <f t="shared" si="0"/>
        <v>0.876</v>
      </c>
      <c r="C17" s="17">
        <f>'апрель факт'!C17+'май факт'!C17+'июнь факт'!C17</f>
        <v>0.876</v>
      </c>
      <c r="D17" s="17">
        <f>'апрель факт'!D17+'май факт'!D17+'июнь факт'!D17</f>
        <v>0</v>
      </c>
      <c r="E17" s="17">
        <f>'апрель факт'!E17+'май факт'!E17+'июнь факт'!E17</f>
        <v>0</v>
      </c>
      <c r="F17" s="18">
        <f>'апрель факт'!F17+'май факт'!F17+'июнь факт'!F17</f>
        <v>0</v>
      </c>
      <c r="H17" s="143"/>
      <c r="I17" s="25"/>
      <c r="J17" s="25"/>
      <c r="K17" s="25"/>
      <c r="L17" s="35"/>
      <c r="M17" s="35"/>
      <c r="N17" s="140"/>
    </row>
    <row r="18" spans="1:14" s="2" customFormat="1" ht="21.75" customHeight="1">
      <c r="A18" s="98" t="s">
        <v>11</v>
      </c>
      <c r="B18" s="5">
        <f t="shared" si="0"/>
        <v>0.876</v>
      </c>
      <c r="C18" s="17">
        <f>'апрель факт'!C18+'май факт'!C18+'июнь факт'!C18</f>
        <v>0.876</v>
      </c>
      <c r="D18" s="17">
        <f>'апрель факт'!D18+'май факт'!D18+'июнь факт'!D18</f>
        <v>0</v>
      </c>
      <c r="E18" s="17">
        <f>'апрель факт'!E18+'май факт'!E18+'июнь факт'!E18</f>
        <v>0</v>
      </c>
      <c r="F18" s="18">
        <f>'апрель факт'!F18+'май факт'!F18+'июнь факт'!F18</f>
        <v>0</v>
      </c>
      <c r="H18" s="144"/>
      <c r="I18" s="25"/>
      <c r="J18" s="25"/>
      <c r="K18" s="25"/>
      <c r="L18" s="25"/>
      <c r="M18" s="25"/>
      <c r="N18" s="140"/>
    </row>
    <row r="19" spans="1:14" s="2" customFormat="1" ht="21" customHeight="1">
      <c r="A19" s="98" t="s">
        <v>12</v>
      </c>
      <c r="B19" s="5">
        <f t="shared" si="0"/>
        <v>0</v>
      </c>
      <c r="C19" s="17">
        <f>'апрель факт'!C19+'май факт'!C19+'июнь факт'!C19</f>
        <v>0</v>
      </c>
      <c r="D19" s="17">
        <f>'апрель факт'!D19+'май факт'!D19+'июнь факт'!D19</f>
        <v>0</v>
      </c>
      <c r="E19" s="17">
        <f>'апрель факт'!E19+'май факт'!E19+'июнь факт'!E19</f>
        <v>0</v>
      </c>
      <c r="F19" s="18">
        <f>'апрель факт'!F19+'май факт'!F19+'июнь факт'!F19</f>
        <v>0</v>
      </c>
      <c r="H19" s="143"/>
      <c r="I19" s="123"/>
      <c r="J19" s="136"/>
      <c r="K19" s="123"/>
      <c r="L19" s="123"/>
      <c r="M19" s="145"/>
      <c r="N19" s="140"/>
    </row>
    <row r="20" spans="1:14" s="2" customFormat="1" ht="41.25" customHeight="1">
      <c r="A20" s="110" t="s">
        <v>37</v>
      </c>
      <c r="B20" s="5">
        <f t="shared" si="0"/>
        <v>8115.591</v>
      </c>
      <c r="C20" s="17">
        <f>'апрель факт'!C20+'май факт'!C20+'июнь факт'!C20</f>
        <v>6734.599</v>
      </c>
      <c r="D20" s="17">
        <f>'апрель факт'!D20+'май факт'!D20+'июнь факт'!D20</f>
        <v>883.137</v>
      </c>
      <c r="E20" s="17">
        <f>'апрель факт'!E20+'май факт'!E20+'июнь факт'!E20</f>
        <v>276.91200000000003</v>
      </c>
      <c r="F20" s="18">
        <f>'апрель факт'!F20+'май факт'!F20+'июнь факт'!F20</f>
        <v>220.94299999999998</v>
      </c>
      <c r="H20" s="142"/>
      <c r="I20" s="25"/>
      <c r="J20" s="25"/>
      <c r="K20" s="25"/>
      <c r="L20" s="35"/>
      <c r="M20" s="35"/>
      <c r="N20" s="140"/>
    </row>
    <row r="21" spans="1:14" s="2" customFormat="1" ht="19.5" customHeight="1">
      <c r="A21" s="98" t="s">
        <v>13</v>
      </c>
      <c r="B21" s="5">
        <f t="shared" si="0"/>
        <v>8065.548</v>
      </c>
      <c r="C21" s="17">
        <f>'апрель факт'!C21+'май факт'!C21+'июнь факт'!C21</f>
        <v>6734.599</v>
      </c>
      <c r="D21" s="17">
        <f>'апрель факт'!D21+'май факт'!D21+'июнь факт'!D21</f>
        <v>883.137</v>
      </c>
      <c r="E21" s="17">
        <f>'апрель факт'!E21+'май факт'!E21+'июнь факт'!E21</f>
        <v>276.91200000000003</v>
      </c>
      <c r="F21" s="18">
        <f>'апрель факт'!F21+'май факт'!F21+'июнь факт'!F21</f>
        <v>170.89999999999998</v>
      </c>
      <c r="H21" s="142"/>
      <c r="I21" s="25"/>
      <c r="J21" s="135"/>
      <c r="K21" s="135"/>
      <c r="L21" s="135"/>
      <c r="M21" s="135"/>
      <c r="N21" s="140"/>
    </row>
    <row r="22" spans="1:14" s="2" customFormat="1" ht="24.75" customHeight="1">
      <c r="A22" s="98" t="s">
        <v>10</v>
      </c>
      <c r="B22" s="5">
        <f t="shared" si="0"/>
        <v>50.043</v>
      </c>
      <c r="C22" s="17">
        <f>'апрель факт'!C22+'май факт'!C22+'июнь факт'!C22</f>
        <v>0</v>
      </c>
      <c r="D22" s="17">
        <f>'апрель факт'!D22+'май факт'!D22+'июнь факт'!D22</f>
        <v>0</v>
      </c>
      <c r="E22" s="17">
        <f>'апрель факт'!E22+'май факт'!E22+'июнь факт'!E22</f>
        <v>0</v>
      </c>
      <c r="F22" s="18">
        <f>'апрель факт'!F22+'май факт'!F22+'июнь факт'!F22</f>
        <v>50.043</v>
      </c>
      <c r="H22" s="142"/>
      <c r="I22" s="25"/>
      <c r="J22" s="135"/>
      <c r="K22" s="135"/>
      <c r="L22" s="135"/>
      <c r="M22" s="135"/>
      <c r="N22" s="140"/>
    </row>
    <row r="23" spans="1:14" s="2" customFormat="1" ht="25.5" customHeight="1">
      <c r="A23" s="98" t="s">
        <v>11</v>
      </c>
      <c r="B23" s="5">
        <f t="shared" si="0"/>
        <v>50.043</v>
      </c>
      <c r="C23" s="17">
        <f>'апрель факт'!C23+'май факт'!C23+'июнь факт'!C23</f>
        <v>0</v>
      </c>
      <c r="D23" s="17">
        <f>'апрель факт'!D23+'май факт'!D23+'июнь факт'!D23</f>
        <v>0</v>
      </c>
      <c r="E23" s="17">
        <f>'апрель факт'!E23+'май факт'!E23+'июнь факт'!E23</f>
        <v>0</v>
      </c>
      <c r="F23" s="18">
        <f>'апрель факт'!F23+'май факт'!F23+'июнь факт'!F23</f>
        <v>50.043</v>
      </c>
      <c r="H23" s="141"/>
      <c r="I23" s="25"/>
      <c r="J23" s="35"/>
      <c r="K23" s="35"/>
      <c r="L23" s="35"/>
      <c r="M23" s="35"/>
      <c r="N23" s="140"/>
    </row>
    <row r="24" spans="1:14" s="2" customFormat="1" ht="20.25" customHeight="1">
      <c r="A24" s="98" t="s">
        <v>12</v>
      </c>
      <c r="B24" s="5">
        <f t="shared" si="0"/>
        <v>0</v>
      </c>
      <c r="C24" s="17">
        <f>'апрель факт'!C24+'май факт'!C24+'июнь факт'!C24</f>
        <v>0</v>
      </c>
      <c r="D24" s="17">
        <f>'апрель факт'!D24+'май факт'!D24+'июнь факт'!D24</f>
        <v>0</v>
      </c>
      <c r="E24" s="17">
        <f>'апрель факт'!E24+'май факт'!E24+'июнь факт'!E24</f>
        <v>0</v>
      </c>
      <c r="F24" s="18">
        <f>'апрель факт'!F24+'май факт'!F24+'июнь факт'!F24</f>
        <v>0</v>
      </c>
      <c r="H24" s="142"/>
      <c r="I24" s="25"/>
      <c r="J24" s="25"/>
      <c r="K24" s="25"/>
      <c r="L24" s="35"/>
      <c r="M24" s="35"/>
      <c r="N24" s="140"/>
    </row>
    <row r="25" spans="1:14" s="2" customFormat="1" ht="50.25" customHeight="1">
      <c r="A25" s="110" t="s">
        <v>7</v>
      </c>
      <c r="B25" s="5">
        <f t="shared" si="0"/>
        <v>35987.69499999999</v>
      </c>
      <c r="C25" s="17">
        <f>'апрель факт'!C25+'май факт'!C25+'июнь факт'!C25</f>
        <v>20731.992</v>
      </c>
      <c r="D25" s="17">
        <f>'апрель факт'!D25+'май факт'!D25+'июнь факт'!D25</f>
        <v>0</v>
      </c>
      <c r="E25" s="17">
        <f>'апрель факт'!E25+'май факт'!E25+'июнь факт'!E25</f>
        <v>5263.638</v>
      </c>
      <c r="F25" s="18">
        <f>'апрель факт'!F25+'май факт'!F25+'июнь факт'!F25</f>
        <v>9992.064999999999</v>
      </c>
      <c r="H25" s="142"/>
      <c r="I25" s="25"/>
      <c r="J25" s="25"/>
      <c r="K25" s="25"/>
      <c r="L25" s="35"/>
      <c r="M25" s="35"/>
      <c r="N25" s="140"/>
    </row>
    <row r="26" spans="1:14" s="2" customFormat="1" ht="32.25" customHeight="1">
      <c r="A26" s="97" t="s">
        <v>48</v>
      </c>
      <c r="B26" s="5">
        <f t="shared" si="0"/>
        <v>28959.35</v>
      </c>
      <c r="C26" s="17">
        <f>'апрель факт'!C26+'май факт'!C26+'июнь факт'!C26</f>
        <v>20731.992</v>
      </c>
      <c r="D26" s="17">
        <f>'апрель факт'!D26+'май факт'!D26+'июнь факт'!D26</f>
        <v>0</v>
      </c>
      <c r="E26" s="17">
        <f>'апрель факт'!E26+'май факт'!E26+'июнь факт'!E26</f>
        <v>5101.528</v>
      </c>
      <c r="F26" s="18">
        <f>'апрель факт'!F26+'май факт'!F26+'июнь факт'!F26</f>
        <v>3125.83</v>
      </c>
      <c r="H26" s="142"/>
      <c r="I26" s="25"/>
      <c r="J26" s="135"/>
      <c r="K26" s="135"/>
      <c r="L26" s="135"/>
      <c r="M26" s="135"/>
      <c r="N26" s="140"/>
    </row>
    <row r="27" spans="1:14" s="2" customFormat="1" ht="18" customHeight="1">
      <c r="A27" s="98" t="s">
        <v>10</v>
      </c>
      <c r="B27" s="5">
        <f t="shared" si="0"/>
        <v>7028.345</v>
      </c>
      <c r="C27" s="17">
        <f>'апрель факт'!C27+'май факт'!C27+'июнь факт'!C27</f>
        <v>0</v>
      </c>
      <c r="D27" s="17">
        <f>'апрель факт'!D27+'май факт'!D27+'июнь факт'!D27</f>
        <v>0</v>
      </c>
      <c r="E27" s="17">
        <f>'апрель факт'!E27+'май факт'!E27+'июнь факт'!E27</f>
        <v>162.11</v>
      </c>
      <c r="F27" s="18">
        <f>'апрель факт'!F27+'май факт'!F27+'июнь факт'!F27</f>
        <v>6866.235000000001</v>
      </c>
      <c r="H27" s="142"/>
      <c r="I27" s="25"/>
      <c r="J27" s="135"/>
      <c r="K27" s="135"/>
      <c r="L27" s="135"/>
      <c r="M27" s="135"/>
      <c r="N27" s="140"/>
    </row>
    <row r="28" spans="1:14" s="2" customFormat="1" ht="36.75" customHeight="1">
      <c r="A28" s="98" t="s">
        <v>11</v>
      </c>
      <c r="B28" s="5">
        <f t="shared" si="0"/>
        <v>6937.088</v>
      </c>
      <c r="C28" s="17">
        <f>'апрель факт'!C28+'май факт'!C28+'июнь факт'!C28</f>
        <v>0</v>
      </c>
      <c r="D28" s="17">
        <f>'апрель факт'!D28+'май факт'!D28+'июнь факт'!D28</f>
        <v>0</v>
      </c>
      <c r="E28" s="17">
        <f>'апрель факт'!E28+'май факт'!E28+'июнь факт'!E28</f>
        <v>162.11</v>
      </c>
      <c r="F28" s="18">
        <f>'апрель факт'!F28+'май факт'!F28+'июнь факт'!F28</f>
        <v>6774.978</v>
      </c>
      <c r="H28" s="141"/>
      <c r="I28" s="25"/>
      <c r="J28" s="35"/>
      <c r="K28" s="146"/>
      <c r="L28" s="35"/>
      <c r="M28" s="35"/>
      <c r="N28" s="140"/>
    </row>
    <row r="29" spans="1:14" s="2" customFormat="1" ht="23.25" customHeight="1">
      <c r="A29" s="98" t="s">
        <v>12</v>
      </c>
      <c r="B29" s="5">
        <f t="shared" si="0"/>
        <v>91.257</v>
      </c>
      <c r="C29" s="17">
        <f>'апрель факт'!C29+'май факт'!C29+'июнь факт'!C29</f>
        <v>0</v>
      </c>
      <c r="D29" s="17">
        <f>'апрель факт'!D29+'май факт'!D29+'июнь факт'!D29</f>
        <v>0</v>
      </c>
      <c r="E29" s="17">
        <f>'апрель факт'!E29+'май факт'!E29+'июнь факт'!E29</f>
        <v>0</v>
      </c>
      <c r="F29" s="18">
        <f>'апрель факт'!F29+'май факт'!F29+'июнь факт'!F29</f>
        <v>91.257</v>
      </c>
      <c r="H29" s="142"/>
      <c r="I29" s="25"/>
      <c r="J29" s="25"/>
      <c r="K29" s="25"/>
      <c r="L29" s="25"/>
      <c r="M29" s="25"/>
      <c r="N29" s="140"/>
    </row>
    <row r="30" spans="1:14" s="2" customFormat="1" ht="23.25" customHeight="1">
      <c r="A30" s="110" t="s">
        <v>38</v>
      </c>
      <c r="B30" s="5">
        <f t="shared" si="0"/>
        <v>294.025</v>
      </c>
      <c r="C30" s="17">
        <f>'апрель факт'!C30+'май факт'!C30+'июнь факт'!C30</f>
        <v>0</v>
      </c>
      <c r="D30" s="17">
        <f>'апрель факт'!D30+'май факт'!D30+'июнь факт'!D30</f>
        <v>0</v>
      </c>
      <c r="E30" s="17">
        <f>'апрель факт'!E30+'май факт'!E30+'июнь факт'!E30</f>
        <v>163.868</v>
      </c>
      <c r="F30" s="18">
        <f>'апрель факт'!F30+'май факт'!F30+'июнь факт'!F30</f>
        <v>130.157</v>
      </c>
      <c r="H30" s="142"/>
      <c r="I30" s="25"/>
      <c r="J30" s="35"/>
      <c r="K30" s="25"/>
      <c r="L30" s="35"/>
      <c r="M30" s="35"/>
      <c r="N30" s="140"/>
    </row>
    <row r="31" spans="1:14" s="2" customFormat="1" ht="23.25" customHeight="1">
      <c r="A31" s="98" t="s">
        <v>13</v>
      </c>
      <c r="B31" s="5">
        <f t="shared" si="0"/>
        <v>232.68099999999998</v>
      </c>
      <c r="C31" s="17">
        <f>'апрель факт'!C31+'май факт'!C31+'июнь факт'!C31</f>
        <v>0</v>
      </c>
      <c r="D31" s="17">
        <f>'апрель факт'!D31+'май факт'!D31+'июнь факт'!D31</f>
        <v>0</v>
      </c>
      <c r="E31" s="17">
        <f>'апрель факт'!E31+'май факт'!E31+'июнь факт'!E31</f>
        <v>163.868</v>
      </c>
      <c r="F31" s="18">
        <f>'апрель факт'!F31+'май факт'!F31+'июнь факт'!F31</f>
        <v>68.813</v>
      </c>
      <c r="H31" s="142"/>
      <c r="I31" s="25"/>
      <c r="J31" s="146"/>
      <c r="K31" s="146"/>
      <c r="L31" s="146"/>
      <c r="M31" s="31"/>
      <c r="N31" s="140"/>
    </row>
    <row r="32" spans="1:14" s="2" customFormat="1" ht="23.25" customHeight="1">
      <c r="A32" s="98" t="s">
        <v>10</v>
      </c>
      <c r="B32" s="5">
        <f t="shared" si="0"/>
        <v>61.344</v>
      </c>
      <c r="C32" s="17">
        <f>'апрель факт'!C32+'май факт'!C32+'июнь факт'!C32</f>
        <v>0</v>
      </c>
      <c r="D32" s="17">
        <f>'апрель факт'!D32+'май факт'!D32+'июнь факт'!D32</f>
        <v>0</v>
      </c>
      <c r="E32" s="17">
        <f>'апрель факт'!E32+'май факт'!E32+'июнь факт'!E32</f>
        <v>0</v>
      </c>
      <c r="F32" s="18">
        <f>'апрель факт'!F32+'май факт'!F32+'июнь факт'!F32</f>
        <v>61.344</v>
      </c>
      <c r="H32" s="142"/>
      <c r="I32" s="25"/>
      <c r="J32" s="146"/>
      <c r="K32" s="146"/>
      <c r="L32" s="146"/>
      <c r="M32" s="31"/>
      <c r="N32" s="140"/>
    </row>
    <row r="33" spans="1:14" s="2" customFormat="1" ht="42" customHeight="1">
      <c r="A33" s="98" t="s">
        <v>11</v>
      </c>
      <c r="B33" s="5">
        <f t="shared" si="0"/>
        <v>46.436</v>
      </c>
      <c r="C33" s="17">
        <f>'апрель факт'!C33+'май факт'!C33+'июнь факт'!C33</f>
        <v>0</v>
      </c>
      <c r="D33" s="17">
        <f>'апрель факт'!D33+'май факт'!D33+'июнь факт'!D33</f>
        <v>0</v>
      </c>
      <c r="E33" s="17">
        <f>'апрель факт'!E33+'май факт'!E33+'июнь факт'!E33</f>
        <v>0</v>
      </c>
      <c r="F33" s="18">
        <f>'апрель факт'!F33+'май факт'!F33+'июнь факт'!F33</f>
        <v>46.436</v>
      </c>
      <c r="H33" s="141"/>
      <c r="I33" s="25"/>
      <c r="J33" s="146"/>
      <c r="K33" s="146"/>
      <c r="L33" s="146"/>
      <c r="M33" s="35"/>
      <c r="N33" s="140"/>
    </row>
    <row r="34" spans="1:14" s="2" customFormat="1" ht="19.5" customHeight="1">
      <c r="A34" s="98" t="s">
        <v>12</v>
      </c>
      <c r="B34" s="5">
        <f t="shared" si="0"/>
        <v>14.908</v>
      </c>
      <c r="C34" s="17">
        <f>'апрель факт'!C34+'май факт'!C34+'июнь факт'!C34</f>
        <v>0</v>
      </c>
      <c r="D34" s="17">
        <f>'апрель факт'!D34+'май факт'!D34+'июнь факт'!D34</f>
        <v>0</v>
      </c>
      <c r="E34" s="17">
        <f>'апрель факт'!E34+'май факт'!E34+'июнь факт'!E34</f>
        <v>0</v>
      </c>
      <c r="F34" s="18">
        <f>'апрель факт'!F34+'май факт'!F34+'июнь факт'!F34</f>
        <v>14.908</v>
      </c>
      <c r="H34" s="142"/>
      <c r="I34" s="25"/>
      <c r="J34" s="25"/>
      <c r="K34" s="25"/>
      <c r="L34" s="25"/>
      <c r="M34" s="25"/>
      <c r="N34" s="140"/>
    </row>
    <row r="35" spans="1:14" s="2" customFormat="1" ht="42" customHeight="1">
      <c r="A35" s="110" t="s">
        <v>39</v>
      </c>
      <c r="B35" s="5">
        <f t="shared" si="0"/>
        <v>303.156</v>
      </c>
      <c r="C35" s="17">
        <f>'апрель факт'!C35+'май факт'!C35+'июнь факт'!C35</f>
        <v>0</v>
      </c>
      <c r="D35" s="17">
        <f>'апрель факт'!D35+'май факт'!D35+'июнь факт'!D35</f>
        <v>0</v>
      </c>
      <c r="E35" s="17">
        <f>'апрель факт'!E35+'май факт'!E35+'июнь факт'!E35</f>
        <v>0</v>
      </c>
      <c r="F35" s="18">
        <f>'апрель факт'!F35+'май факт'!F35+'июнь факт'!F35</f>
        <v>303.156</v>
      </c>
      <c r="H35" s="142"/>
      <c r="I35" s="25"/>
      <c r="J35" s="25"/>
      <c r="K35" s="25"/>
      <c r="L35" s="35"/>
      <c r="M35" s="35"/>
      <c r="N35" s="140"/>
    </row>
    <row r="36" spans="1:14" s="2" customFormat="1" ht="19.5" customHeight="1">
      <c r="A36" s="98" t="s">
        <v>13</v>
      </c>
      <c r="B36" s="5">
        <f t="shared" si="0"/>
        <v>271.813</v>
      </c>
      <c r="C36" s="17">
        <f>'апрель факт'!C36+'май факт'!C36+'июнь факт'!C36</f>
        <v>0</v>
      </c>
      <c r="D36" s="17">
        <f>'апрель факт'!D36+'май факт'!D36+'июнь факт'!D36</f>
        <v>0</v>
      </c>
      <c r="E36" s="17">
        <f>'апрель факт'!E36+'май факт'!E36+'июнь факт'!E36</f>
        <v>0</v>
      </c>
      <c r="F36" s="18">
        <f>'апрель факт'!F36+'май факт'!F36+'июнь факт'!F36</f>
        <v>271.813</v>
      </c>
      <c r="H36" s="142"/>
      <c r="I36" s="25"/>
      <c r="J36" s="146"/>
      <c r="K36" s="146"/>
      <c r="L36" s="146"/>
      <c r="M36" s="31"/>
      <c r="N36" s="140"/>
    </row>
    <row r="37" spans="1:14" s="2" customFormat="1" ht="19.5" customHeight="1">
      <c r="A37" s="98" t="s">
        <v>10</v>
      </c>
      <c r="B37" s="5">
        <f t="shared" si="0"/>
        <v>31.343000000000004</v>
      </c>
      <c r="C37" s="17">
        <f>'апрель факт'!C37+'май факт'!C37+'июнь факт'!C37</f>
        <v>0</v>
      </c>
      <c r="D37" s="17">
        <f>'апрель факт'!D37+'май факт'!D37+'июнь факт'!D37</f>
        <v>0</v>
      </c>
      <c r="E37" s="17">
        <f>'апрель факт'!E37+'май факт'!E37+'июнь факт'!E37</f>
        <v>0</v>
      </c>
      <c r="F37" s="18">
        <f>'апрель факт'!F37+'май факт'!F37+'июнь факт'!F37</f>
        <v>31.343000000000004</v>
      </c>
      <c r="H37" s="142"/>
      <c r="I37" s="25"/>
      <c r="J37" s="146"/>
      <c r="K37" s="146"/>
      <c r="L37" s="146"/>
      <c r="M37" s="31"/>
      <c r="N37" s="140"/>
    </row>
    <row r="38" spans="1:14" s="2" customFormat="1" ht="24.75" customHeight="1">
      <c r="A38" s="98" t="s">
        <v>11</v>
      </c>
      <c r="B38" s="5">
        <f t="shared" si="0"/>
        <v>0</v>
      </c>
      <c r="C38" s="17">
        <f>'апрель факт'!C38+'май факт'!C38+'июнь факт'!C38</f>
        <v>0</v>
      </c>
      <c r="D38" s="17">
        <f>'апрель факт'!D38+'май факт'!D38+'июнь факт'!D38</f>
        <v>0</v>
      </c>
      <c r="E38" s="17">
        <f>'апрель факт'!E38+'май факт'!E38+'июнь факт'!E38</f>
        <v>0</v>
      </c>
      <c r="F38" s="18">
        <f>'апрель факт'!F38+'май факт'!F38+'июнь факт'!F38</f>
        <v>0</v>
      </c>
      <c r="H38" s="47"/>
      <c r="I38" s="25"/>
      <c r="J38" s="34"/>
      <c r="K38" s="25"/>
      <c r="L38" s="35"/>
      <c r="M38" s="35"/>
      <c r="N38" s="140"/>
    </row>
    <row r="39" spans="1:14" s="2" customFormat="1" ht="24.75" customHeight="1">
      <c r="A39" s="98" t="s">
        <v>12</v>
      </c>
      <c r="B39" s="5">
        <f t="shared" si="0"/>
        <v>31.343000000000004</v>
      </c>
      <c r="C39" s="17">
        <f>'апрель факт'!C39+'май факт'!C39+'июнь факт'!C39</f>
        <v>0</v>
      </c>
      <c r="D39" s="17">
        <f>'апрель факт'!D39+'май факт'!D39+'июнь факт'!D39</f>
        <v>0</v>
      </c>
      <c r="E39" s="17">
        <f>'апрель факт'!E39+'май факт'!E39+'июнь факт'!E39</f>
        <v>0</v>
      </c>
      <c r="F39" s="18">
        <f>'апрель факт'!F39+'май факт'!F39+'июнь факт'!F39</f>
        <v>31.343000000000004</v>
      </c>
      <c r="H39" s="142"/>
      <c r="I39" s="25"/>
      <c r="J39" s="25"/>
      <c r="K39" s="25"/>
      <c r="L39" s="35"/>
      <c r="M39" s="35"/>
      <c r="N39" s="140"/>
    </row>
    <row r="40" spans="1:14" s="2" customFormat="1" ht="24.75" customHeight="1">
      <c r="A40" s="110" t="s">
        <v>24</v>
      </c>
      <c r="B40" s="5">
        <f t="shared" si="0"/>
        <v>0</v>
      </c>
      <c r="C40" s="17">
        <f>'апрель факт'!C40+'май факт'!C40+'июнь факт'!C40</f>
        <v>0</v>
      </c>
      <c r="D40" s="17">
        <f>'апрель факт'!D40+'май факт'!D40+'июнь факт'!D40</f>
        <v>0</v>
      </c>
      <c r="E40" s="17">
        <f>'апрель факт'!E40+'май факт'!E40+'июнь факт'!E40</f>
        <v>0</v>
      </c>
      <c r="F40" s="18">
        <f>'апрель факт'!F40+'май факт'!F40+'июнь факт'!F40</f>
        <v>0</v>
      </c>
      <c r="H40" s="142"/>
      <c r="I40" s="25"/>
      <c r="J40" s="25"/>
      <c r="K40" s="25"/>
      <c r="L40" s="35"/>
      <c r="M40" s="35"/>
      <c r="N40" s="140"/>
    </row>
    <row r="41" spans="1:14" s="2" customFormat="1" ht="24.75" customHeight="1">
      <c r="A41" s="98" t="s">
        <v>13</v>
      </c>
      <c r="B41" s="5">
        <f t="shared" si="0"/>
        <v>0</v>
      </c>
      <c r="C41" s="17">
        <f>'апрель факт'!C41+'май факт'!C41+'июнь факт'!C41</f>
        <v>0</v>
      </c>
      <c r="D41" s="17">
        <f>'апрель факт'!D41+'май факт'!D41+'июнь факт'!D41</f>
        <v>0</v>
      </c>
      <c r="E41" s="17">
        <f>'апрель факт'!E41+'май факт'!E41+'июнь факт'!E41</f>
        <v>0</v>
      </c>
      <c r="F41" s="18">
        <f>'апрель факт'!F41+'май факт'!F41+'июнь факт'!F41</f>
        <v>0</v>
      </c>
      <c r="H41" s="142"/>
      <c r="I41" s="25"/>
      <c r="J41" s="34"/>
      <c r="K41" s="25"/>
      <c r="L41" s="34"/>
      <c r="M41" s="34"/>
      <c r="N41" s="140"/>
    </row>
    <row r="42" spans="1:14" s="2" customFormat="1" ht="24.75" customHeight="1">
      <c r="A42" s="98" t="s">
        <v>10</v>
      </c>
      <c r="B42" s="5">
        <f t="shared" si="0"/>
        <v>0</v>
      </c>
      <c r="C42" s="17">
        <f>'апрель факт'!C42+'май факт'!C42+'июнь факт'!C42</f>
        <v>0</v>
      </c>
      <c r="D42" s="17">
        <f>'апрель факт'!D42+'май факт'!D42+'июнь факт'!D42</f>
        <v>0</v>
      </c>
      <c r="E42" s="17">
        <f>'апрель факт'!E42+'май факт'!E42+'июнь факт'!E42</f>
        <v>0</v>
      </c>
      <c r="F42" s="18">
        <f>'апрель факт'!F42+'май факт'!F42+'июнь факт'!F42</f>
        <v>0</v>
      </c>
      <c r="H42" s="142"/>
      <c r="I42" s="25"/>
      <c r="J42" s="34"/>
      <c r="K42" s="25"/>
      <c r="L42" s="34"/>
      <c r="M42" s="34"/>
      <c r="N42" s="140"/>
    </row>
    <row r="43" spans="1:14" s="2" customFormat="1" ht="24.75" customHeight="1">
      <c r="A43" s="98" t="s">
        <v>11</v>
      </c>
      <c r="B43" s="5">
        <f t="shared" si="0"/>
        <v>0</v>
      </c>
      <c r="C43" s="17">
        <f>'апрель факт'!C43+'май факт'!C43+'июнь факт'!C43</f>
        <v>0</v>
      </c>
      <c r="D43" s="17">
        <f>'апрель факт'!D43+'май факт'!D43+'июнь факт'!D43</f>
        <v>0</v>
      </c>
      <c r="E43" s="17">
        <f>'апрель факт'!E43+'май факт'!E43+'июнь факт'!E43</f>
        <v>0</v>
      </c>
      <c r="F43" s="18">
        <f>'апрель факт'!F43+'май факт'!F43+'июнь факт'!F43</f>
        <v>0</v>
      </c>
      <c r="H43" s="47"/>
      <c r="I43" s="25"/>
      <c r="J43" s="25"/>
      <c r="K43" s="25"/>
      <c r="L43" s="25"/>
      <c r="M43" s="25"/>
      <c r="N43" s="140"/>
    </row>
    <row r="44" spans="1:14" s="2" customFormat="1" ht="24.75" customHeight="1">
      <c r="A44" s="98" t="s">
        <v>12</v>
      </c>
      <c r="B44" s="5">
        <f t="shared" si="0"/>
        <v>0</v>
      </c>
      <c r="C44" s="17">
        <f>'апрель факт'!C44+'май факт'!C44+'июнь факт'!C44</f>
        <v>0</v>
      </c>
      <c r="D44" s="17">
        <f>'апрель факт'!D44+'май факт'!D44+'июнь факт'!D44</f>
        <v>0</v>
      </c>
      <c r="E44" s="17">
        <f>'апрель факт'!E44+'май факт'!E44+'июнь факт'!E44</f>
        <v>0</v>
      </c>
      <c r="F44" s="18">
        <f>'апрель факт'!F44+'май факт'!F44+'июнь факт'!F44</f>
        <v>0</v>
      </c>
      <c r="H44" s="143"/>
      <c r="I44" s="25"/>
      <c r="J44" s="35"/>
      <c r="K44" s="25"/>
      <c r="L44" s="35"/>
      <c r="M44" s="35"/>
      <c r="N44" s="140"/>
    </row>
    <row r="45" spans="1:14" s="2" customFormat="1" ht="24.75" customHeight="1">
      <c r="A45" s="27" t="s">
        <v>26</v>
      </c>
      <c r="B45" s="5">
        <f t="shared" si="0"/>
        <v>1401.75</v>
      </c>
      <c r="C45" s="17">
        <f>'апрель факт'!C45+'май факт'!C45+'июнь факт'!C45</f>
        <v>0</v>
      </c>
      <c r="D45" s="17">
        <f>'апрель факт'!D45+'май факт'!D45+'июнь факт'!D45</f>
        <v>0</v>
      </c>
      <c r="E45" s="17">
        <f>'апрель факт'!E45+'май факт'!E45+'июнь факт'!E45</f>
        <v>1084.492</v>
      </c>
      <c r="F45" s="18">
        <f>'апрель факт'!F45+'май факт'!F45+'июнь факт'!F45</f>
        <v>317.258</v>
      </c>
      <c r="H45" s="144"/>
      <c r="I45" s="147"/>
      <c r="J45" s="148"/>
      <c r="K45" s="149"/>
      <c r="L45" s="149"/>
      <c r="M45" s="35"/>
      <c r="N45" s="140"/>
    </row>
    <row r="46" spans="1:14" s="2" customFormat="1" ht="24.75" customHeight="1">
      <c r="A46" s="98" t="s">
        <v>13</v>
      </c>
      <c r="B46" s="5">
        <f t="shared" si="0"/>
        <v>1401.75</v>
      </c>
      <c r="C46" s="17">
        <f>'апрель факт'!C46+'май факт'!C46+'июнь факт'!C46</f>
        <v>0</v>
      </c>
      <c r="D46" s="17">
        <f>'апрель факт'!D46+'май факт'!D46+'июнь факт'!D46</f>
        <v>0</v>
      </c>
      <c r="E46" s="17">
        <f>'апрель факт'!E46+'май факт'!E46+'июнь факт'!E46</f>
        <v>1084.492</v>
      </c>
      <c r="F46" s="18">
        <f>'апрель факт'!F46+'май факт'!F46+'июнь факт'!F46</f>
        <v>317.258</v>
      </c>
      <c r="H46" s="143"/>
      <c r="I46" s="150"/>
      <c r="J46" s="148"/>
      <c r="K46" s="149"/>
      <c r="L46" s="149"/>
      <c r="M46" s="35"/>
      <c r="N46" s="140"/>
    </row>
    <row r="47" spans="1:14" s="2" customFormat="1" ht="24.75" customHeight="1">
      <c r="A47" s="98" t="s">
        <v>10</v>
      </c>
      <c r="B47" s="5">
        <f t="shared" si="0"/>
        <v>0</v>
      </c>
      <c r="C47" s="17">
        <f>'апрель факт'!C47+'май факт'!C47+'июнь факт'!C47</f>
        <v>0</v>
      </c>
      <c r="D47" s="17">
        <f>'апрель факт'!D47+'май факт'!D47+'июнь факт'!D47</f>
        <v>0</v>
      </c>
      <c r="E47" s="17">
        <f>'апрель факт'!E47+'май факт'!E47+'июнь факт'!E47</f>
        <v>0</v>
      </c>
      <c r="F47" s="18">
        <f>'апрель факт'!F47+'май факт'!F47+'июнь факт'!F47</f>
        <v>0</v>
      </c>
      <c r="H47" s="151"/>
      <c r="I47" s="152"/>
      <c r="J47" s="153"/>
      <c r="K47" s="154"/>
      <c r="L47" s="154"/>
      <c r="M47" s="35"/>
      <c r="N47" s="140"/>
    </row>
    <row r="48" spans="1:14" s="2" customFormat="1" ht="21.75" customHeight="1">
      <c r="A48" s="98" t="s">
        <v>11</v>
      </c>
      <c r="B48" s="5">
        <f t="shared" si="0"/>
        <v>0</v>
      </c>
      <c r="C48" s="17">
        <f>'апрель факт'!C48+'май факт'!C48+'июнь факт'!C48</f>
        <v>0</v>
      </c>
      <c r="D48" s="17">
        <f>'апрель факт'!D48+'май факт'!D48+'июнь факт'!D48</f>
        <v>0</v>
      </c>
      <c r="E48" s="17">
        <f>'апрель факт'!E48+'май факт'!E48+'июнь факт'!E48</f>
        <v>0</v>
      </c>
      <c r="F48" s="18">
        <f>'апрель факт'!F48+'май факт'!F48+'июнь факт'!F48</f>
        <v>0</v>
      </c>
      <c r="H48" s="151"/>
      <c r="I48" s="152"/>
      <c r="J48" s="153"/>
      <c r="K48" s="152"/>
      <c r="L48" s="152"/>
      <c r="M48" s="35"/>
      <c r="N48" s="140"/>
    </row>
    <row r="49" spans="1:14" s="2" customFormat="1" ht="26.25" customHeight="1">
      <c r="A49" s="98" t="s">
        <v>12</v>
      </c>
      <c r="B49" s="5">
        <f t="shared" si="0"/>
        <v>0</v>
      </c>
      <c r="C49" s="17">
        <f>'апрель факт'!C49+'май факт'!C49+'июнь факт'!C49</f>
        <v>0</v>
      </c>
      <c r="D49" s="17">
        <f>'апрель факт'!D49+'май факт'!D49+'июнь факт'!D49</f>
        <v>0</v>
      </c>
      <c r="E49" s="17">
        <f>'апрель факт'!E49+'май факт'!E49+'июнь факт'!E49</f>
        <v>0</v>
      </c>
      <c r="F49" s="18">
        <f>'апрель факт'!F49+'май факт'!F49+'июнь факт'!F49</f>
        <v>0</v>
      </c>
      <c r="H49" s="151"/>
      <c r="I49" s="152"/>
      <c r="J49" s="153"/>
      <c r="K49" s="154"/>
      <c r="L49" s="154"/>
      <c r="M49" s="35"/>
      <c r="N49" s="140"/>
    </row>
    <row r="50" spans="1:14" s="2" customFormat="1" ht="26.25" customHeight="1">
      <c r="A50" s="27" t="s">
        <v>4</v>
      </c>
      <c r="B50" s="5">
        <f t="shared" si="0"/>
        <v>2140.526</v>
      </c>
      <c r="C50" s="17">
        <f>'апрель факт'!C50+'май факт'!C50+'июнь факт'!C50</f>
        <v>2140.526</v>
      </c>
      <c r="D50" s="17">
        <f>'апрель факт'!D50+'май факт'!D50+'июнь факт'!D50</f>
        <v>0</v>
      </c>
      <c r="E50" s="17">
        <f>'апрель факт'!E50+'май факт'!E50+'июнь факт'!E50</f>
        <v>0</v>
      </c>
      <c r="F50" s="18">
        <f>'апрель факт'!F50+'май факт'!F50+'июнь факт'!F50</f>
        <v>0</v>
      </c>
      <c r="H50" s="151"/>
      <c r="I50" s="152"/>
      <c r="J50" s="153"/>
      <c r="K50" s="152"/>
      <c r="L50" s="152"/>
      <c r="M50" s="35"/>
      <c r="N50" s="140"/>
    </row>
    <row r="51" spans="1:14" s="2" customFormat="1" ht="32.25" customHeight="1">
      <c r="A51" s="97" t="s">
        <v>48</v>
      </c>
      <c r="B51" s="5">
        <f t="shared" si="0"/>
        <v>2140.526</v>
      </c>
      <c r="C51" s="17">
        <f>'апрель факт'!C51+'май факт'!C51+'июнь факт'!C51</f>
        <v>2140.526</v>
      </c>
      <c r="D51" s="17">
        <f>'апрель факт'!D51+'май факт'!D51+'июнь факт'!D51</f>
        <v>0</v>
      </c>
      <c r="E51" s="17">
        <f>'апрель факт'!E51+'май факт'!E51+'июнь факт'!E51</f>
        <v>0</v>
      </c>
      <c r="F51" s="18">
        <f>'апрель факт'!F51+'май факт'!F51+'июнь факт'!F51</f>
        <v>0</v>
      </c>
      <c r="H51" s="142"/>
      <c r="I51" s="25"/>
      <c r="J51" s="35"/>
      <c r="K51" s="25"/>
      <c r="L51" s="35"/>
      <c r="M51" s="35"/>
      <c r="N51" s="140"/>
    </row>
    <row r="52" spans="1:14" s="2" customFormat="1" ht="24.75" customHeight="1">
      <c r="A52" s="98" t="s">
        <v>10</v>
      </c>
      <c r="B52" s="5">
        <f t="shared" si="0"/>
        <v>0</v>
      </c>
      <c r="C52" s="17">
        <f>'апрель факт'!C52+'май факт'!C52+'июнь факт'!C52</f>
        <v>0</v>
      </c>
      <c r="D52" s="17">
        <f>'апрель факт'!D52+'май факт'!D52+'июнь факт'!D52</f>
        <v>0</v>
      </c>
      <c r="E52" s="17">
        <f>'апрель факт'!E52+'май факт'!E52+'июнь факт'!E52</f>
        <v>0</v>
      </c>
      <c r="F52" s="18">
        <f>'апрель факт'!F52+'май факт'!F52+'июнь факт'!F52</f>
        <v>0</v>
      </c>
      <c r="H52" s="142"/>
      <c r="I52" s="25"/>
      <c r="J52" s="135"/>
      <c r="K52" s="25"/>
      <c r="L52" s="25"/>
      <c r="M52" s="25"/>
      <c r="N52" s="140"/>
    </row>
    <row r="53" spans="1:14" s="2" customFormat="1" ht="21.75" customHeight="1">
      <c r="A53" s="98" t="s">
        <v>11</v>
      </c>
      <c r="B53" s="5">
        <f t="shared" si="0"/>
        <v>0</v>
      </c>
      <c r="C53" s="17">
        <f>'апрель факт'!C53+'май факт'!C53+'июнь факт'!C53</f>
        <v>0</v>
      </c>
      <c r="D53" s="17">
        <f>'апрель факт'!D53+'май факт'!D53+'июнь факт'!D53</f>
        <v>0</v>
      </c>
      <c r="E53" s="17">
        <f>'апрель факт'!E53+'май факт'!E53+'июнь факт'!E53</f>
        <v>0</v>
      </c>
      <c r="F53" s="18">
        <f>'апрель факт'!F53+'май факт'!F53+'июнь факт'!F53</f>
        <v>0</v>
      </c>
      <c r="H53" s="142"/>
      <c r="I53" s="25"/>
      <c r="J53" s="135"/>
      <c r="K53" s="25"/>
      <c r="L53" s="25"/>
      <c r="M53" s="25"/>
      <c r="N53" s="140"/>
    </row>
    <row r="54" spans="1:14" s="2" customFormat="1" ht="18" customHeight="1">
      <c r="A54" s="98" t="s">
        <v>12</v>
      </c>
      <c r="B54" s="5">
        <f t="shared" si="0"/>
        <v>0</v>
      </c>
      <c r="C54" s="17">
        <f>'апрель факт'!C54+'май факт'!C54+'июнь факт'!C54</f>
        <v>0</v>
      </c>
      <c r="D54" s="17">
        <f>'апрель факт'!D54+'май факт'!D54+'июнь факт'!D54</f>
        <v>0</v>
      </c>
      <c r="E54" s="17">
        <f>'апрель факт'!E54+'май факт'!E54+'июнь факт'!E54</f>
        <v>0</v>
      </c>
      <c r="F54" s="18">
        <f>'апрель факт'!F54+'май факт'!F54+'июнь факт'!F54</f>
        <v>0</v>
      </c>
      <c r="H54" s="141"/>
      <c r="I54" s="25"/>
      <c r="J54" s="35"/>
      <c r="K54" s="35"/>
      <c r="L54" s="35"/>
      <c r="M54" s="35"/>
      <c r="N54" s="140"/>
    </row>
    <row r="55" spans="1:14" s="2" customFormat="1" ht="74.25" customHeight="1">
      <c r="A55" s="110" t="s">
        <v>40</v>
      </c>
      <c r="B55" s="5">
        <f t="shared" si="0"/>
        <v>5010.557</v>
      </c>
      <c r="C55" s="17">
        <f>'апрель факт'!C55+'май факт'!C55+'июнь факт'!C55</f>
        <v>2930.271</v>
      </c>
      <c r="D55" s="17">
        <f>'апрель факт'!D55+'май факт'!D55+'июнь факт'!D55</f>
        <v>0</v>
      </c>
      <c r="E55" s="17">
        <f>'апрель факт'!E55+'май факт'!E55+'июнь факт'!E55</f>
        <v>877.8050000000001</v>
      </c>
      <c r="F55" s="18">
        <f>'апрель факт'!F55+'май факт'!F55+'июнь факт'!F55</f>
        <v>1202.481</v>
      </c>
      <c r="H55" s="143"/>
      <c r="I55" s="25"/>
      <c r="J55" s="35"/>
      <c r="K55" s="35"/>
      <c r="L55" s="35"/>
      <c r="M55" s="35"/>
      <c r="N55" s="140"/>
    </row>
    <row r="56" spans="1:14" s="2" customFormat="1" ht="39.75" customHeight="1">
      <c r="A56" s="97" t="s">
        <v>48</v>
      </c>
      <c r="B56" s="5">
        <f t="shared" si="0"/>
        <v>4139.81</v>
      </c>
      <c r="C56" s="17">
        <f>'апрель факт'!C56+'май факт'!C56+'июнь факт'!C56</f>
        <v>2930.271</v>
      </c>
      <c r="D56" s="17">
        <f>'апрель факт'!D56+'май факт'!D56+'июнь факт'!D56</f>
        <v>0</v>
      </c>
      <c r="E56" s="17">
        <f>'апрель факт'!E56+'май факт'!E56+'июнь факт'!E56</f>
        <v>877.8050000000001</v>
      </c>
      <c r="F56" s="18">
        <f>'апрель факт'!F56+'май факт'!F56+'июнь факт'!F56</f>
        <v>331.734</v>
      </c>
      <c r="H56" s="143"/>
      <c r="I56" s="25"/>
      <c r="J56" s="155"/>
      <c r="K56" s="25"/>
      <c r="L56" s="25"/>
      <c r="M56" s="25"/>
      <c r="N56" s="140"/>
    </row>
    <row r="57" spans="1:14" s="33" customFormat="1" ht="23.25" customHeight="1">
      <c r="A57" s="98" t="s">
        <v>10</v>
      </c>
      <c r="B57" s="5">
        <f t="shared" si="0"/>
        <v>870.7470000000001</v>
      </c>
      <c r="C57" s="17">
        <f>'апрель факт'!C57+'май факт'!C57+'июнь факт'!C57</f>
        <v>0</v>
      </c>
      <c r="D57" s="17">
        <f>'апрель факт'!D57+'май факт'!D57+'июнь факт'!D57</f>
        <v>0</v>
      </c>
      <c r="E57" s="17">
        <f>'апрель факт'!E57+'май факт'!E57+'июнь факт'!E57</f>
        <v>0</v>
      </c>
      <c r="F57" s="18">
        <f>'апрель факт'!F57+'май факт'!F57+'июнь факт'!F57</f>
        <v>870.7470000000001</v>
      </c>
      <c r="H57" s="143"/>
      <c r="I57" s="150"/>
      <c r="J57" s="155"/>
      <c r="K57" s="123"/>
      <c r="L57" s="123"/>
      <c r="M57" s="145"/>
      <c r="N57" s="138"/>
    </row>
    <row r="58" spans="1:14" s="33" customFormat="1" ht="23.25" customHeight="1">
      <c r="A58" s="98" t="s">
        <v>11</v>
      </c>
      <c r="B58" s="5">
        <f t="shared" si="0"/>
        <v>793.7159999999999</v>
      </c>
      <c r="C58" s="17">
        <f>'апрель факт'!C58+'май факт'!C58+'июнь факт'!C58</f>
        <v>0</v>
      </c>
      <c r="D58" s="17">
        <f>'апрель факт'!D58+'май факт'!D58+'июнь факт'!D58</f>
        <v>0</v>
      </c>
      <c r="E58" s="17">
        <f>'апрель факт'!E58+'май факт'!E58+'июнь факт'!E58</f>
        <v>0</v>
      </c>
      <c r="F58" s="18">
        <f>'апрель факт'!F58+'май факт'!F58+'июнь факт'!F58</f>
        <v>793.7159999999999</v>
      </c>
      <c r="H58" s="142"/>
      <c r="I58" s="25"/>
      <c r="J58" s="35"/>
      <c r="K58" s="35"/>
      <c r="L58" s="35"/>
      <c r="M58" s="35"/>
      <c r="N58" s="138"/>
    </row>
    <row r="59" spans="1:14" s="33" customFormat="1" ht="23.25" customHeight="1">
      <c r="A59" s="98" t="s">
        <v>12</v>
      </c>
      <c r="B59" s="5">
        <f t="shared" si="0"/>
        <v>77.03099999999999</v>
      </c>
      <c r="C59" s="17">
        <f>'апрель факт'!C59+'май факт'!C59+'июнь факт'!C59</f>
        <v>0</v>
      </c>
      <c r="D59" s="17">
        <f>'апрель факт'!D59+'май факт'!D59+'июнь факт'!D59</f>
        <v>0</v>
      </c>
      <c r="E59" s="17">
        <f>'апрель факт'!E59+'май факт'!E59+'июнь факт'!E59</f>
        <v>0</v>
      </c>
      <c r="F59" s="18">
        <f>'апрель факт'!F59+'май факт'!F59+'июнь факт'!F59</f>
        <v>77.03099999999999</v>
      </c>
      <c r="H59" s="142"/>
      <c r="I59" s="25"/>
      <c r="J59" s="135"/>
      <c r="K59" s="25"/>
      <c r="L59" s="25"/>
      <c r="M59" s="25"/>
      <c r="N59" s="138"/>
    </row>
    <row r="60" spans="1:14" s="33" customFormat="1" ht="33" customHeight="1">
      <c r="A60" s="110" t="s">
        <v>25</v>
      </c>
      <c r="B60" s="5">
        <f t="shared" si="0"/>
        <v>5435.412</v>
      </c>
      <c r="C60" s="17">
        <f>'апрель факт'!C60+'май факт'!C60+'июнь факт'!C60</f>
        <v>5405.21</v>
      </c>
      <c r="D60" s="17">
        <f>'апрель факт'!D60+'май факт'!D60+'июнь факт'!D60</f>
        <v>0</v>
      </c>
      <c r="E60" s="17">
        <f>'апрель факт'!E60+'май факт'!E60+'июнь факт'!E60</f>
        <v>0</v>
      </c>
      <c r="F60" s="18">
        <f>'апрель факт'!F60+'май факт'!F60+'июнь факт'!F60</f>
        <v>30.201999999999998</v>
      </c>
      <c r="H60" s="142"/>
      <c r="I60" s="25"/>
      <c r="J60" s="135"/>
      <c r="K60" s="25"/>
      <c r="L60" s="25"/>
      <c r="M60" s="25"/>
      <c r="N60" s="138"/>
    </row>
    <row r="61" spans="1:14" s="33" customFormat="1" ht="30.75" customHeight="1">
      <c r="A61" s="98" t="s">
        <v>13</v>
      </c>
      <c r="B61" s="5">
        <f t="shared" si="0"/>
        <v>5435.412</v>
      </c>
      <c r="C61" s="17">
        <f>'апрель факт'!C61+'май факт'!C61+'июнь факт'!C61</f>
        <v>5405.21</v>
      </c>
      <c r="D61" s="17">
        <f>'апрель факт'!D61+'май факт'!D61+'июнь факт'!D61</f>
        <v>0</v>
      </c>
      <c r="E61" s="17">
        <f>'апрель факт'!E61+'май факт'!E61+'июнь факт'!E61</f>
        <v>0</v>
      </c>
      <c r="F61" s="18">
        <f>'апрель факт'!F61+'май факт'!F61+'июнь факт'!F61</f>
        <v>30.201999999999998</v>
      </c>
      <c r="H61" s="141"/>
      <c r="I61" s="25"/>
      <c r="J61" s="25"/>
      <c r="K61" s="25"/>
      <c r="L61" s="25"/>
      <c r="M61" s="25"/>
      <c r="N61" s="138"/>
    </row>
    <row r="62" spans="1:14" ht="28.5" customHeight="1">
      <c r="A62" s="98" t="s">
        <v>10</v>
      </c>
      <c r="B62" s="5">
        <f t="shared" si="0"/>
        <v>0</v>
      </c>
      <c r="C62" s="17">
        <f>'апрель факт'!C62+'май факт'!C62+'июнь факт'!C62</f>
        <v>0</v>
      </c>
      <c r="D62" s="17">
        <f>'апрель факт'!D62+'май факт'!D62+'июнь факт'!D62</f>
        <v>0</v>
      </c>
      <c r="E62" s="17">
        <f>'апрель факт'!E62+'май факт'!E62+'июнь факт'!E62</f>
        <v>0</v>
      </c>
      <c r="F62" s="18">
        <f>'апрель факт'!F62+'май факт'!F62+'июнь факт'!F62</f>
        <v>0</v>
      </c>
      <c r="G62" s="3"/>
      <c r="H62" s="142"/>
      <c r="I62" s="25"/>
      <c r="J62" s="156"/>
      <c r="K62" s="156"/>
      <c r="L62" s="156"/>
      <c r="M62" s="156"/>
      <c r="N62" s="139"/>
    </row>
    <row r="63" spans="1:14" ht="23.25">
      <c r="A63" s="98" t="s">
        <v>11</v>
      </c>
      <c r="B63" s="5">
        <f t="shared" si="0"/>
        <v>0</v>
      </c>
      <c r="C63" s="17">
        <f>'апрель факт'!C63+'май факт'!C63+'июнь факт'!C63</f>
        <v>0</v>
      </c>
      <c r="D63" s="17">
        <f>'апрель факт'!D63+'май факт'!D63+'июнь факт'!D63</f>
        <v>0</v>
      </c>
      <c r="E63" s="17">
        <f>'апрель факт'!E63+'май факт'!E63+'июнь факт'!E63</f>
        <v>0</v>
      </c>
      <c r="F63" s="18">
        <f>'апрель факт'!F63+'май факт'!F63+'июнь факт'!F63</f>
        <v>0</v>
      </c>
      <c r="G63" s="3"/>
      <c r="H63" s="142"/>
      <c r="I63" s="25"/>
      <c r="J63" s="135"/>
      <c r="K63" s="25"/>
      <c r="L63" s="25"/>
      <c r="M63" s="25"/>
      <c r="N63" s="139"/>
    </row>
    <row r="64" spans="1:14" ht="23.25">
      <c r="A64" s="98" t="s">
        <v>12</v>
      </c>
      <c r="B64" s="5">
        <f t="shared" si="0"/>
        <v>0</v>
      </c>
      <c r="C64" s="17">
        <f>'апрель факт'!C64+'май факт'!C64+'июнь факт'!C64</f>
        <v>0</v>
      </c>
      <c r="D64" s="17">
        <f>'апрель факт'!D64+'май факт'!D64+'июнь факт'!D64</f>
        <v>0</v>
      </c>
      <c r="E64" s="17">
        <f>'апрель факт'!E64+'май факт'!E64+'июнь факт'!E64</f>
        <v>0</v>
      </c>
      <c r="F64" s="18">
        <f>'апрель факт'!F64+'май факт'!F64+'июнь факт'!F64</f>
        <v>0</v>
      </c>
      <c r="G64" s="3"/>
      <c r="H64" s="142"/>
      <c r="I64" s="25"/>
      <c r="J64" s="135"/>
      <c r="K64" s="25"/>
      <c r="L64" s="34"/>
      <c r="M64" s="34"/>
      <c r="N64" s="139"/>
    </row>
    <row r="65" spans="1:14" ht="23.25">
      <c r="A65" s="110" t="s">
        <v>41</v>
      </c>
      <c r="B65" s="5">
        <f t="shared" si="0"/>
        <v>39.427</v>
      </c>
      <c r="C65" s="17">
        <f>'апрель факт'!C65+'май факт'!C65+'июнь факт'!C65</f>
        <v>0</v>
      </c>
      <c r="D65" s="17">
        <f>'апрель факт'!D65+'май факт'!D65+'июнь факт'!D65</f>
        <v>0</v>
      </c>
      <c r="E65" s="17">
        <f>'апрель факт'!E65+'май факт'!E65+'июнь факт'!E65</f>
        <v>39.427</v>
      </c>
      <c r="F65" s="18">
        <f>'апрель факт'!F65+'май факт'!F65+'июнь факт'!F65</f>
        <v>0</v>
      </c>
      <c r="G65" s="3"/>
      <c r="H65" s="142"/>
      <c r="I65" s="25"/>
      <c r="J65" s="135"/>
      <c r="K65" s="25"/>
      <c r="L65" s="34"/>
      <c r="M65" s="34"/>
      <c r="N65" s="139"/>
    </row>
    <row r="66" spans="1:14" ht="23.25">
      <c r="A66" s="98" t="s">
        <v>13</v>
      </c>
      <c r="B66" s="5">
        <f t="shared" si="0"/>
        <v>39.427</v>
      </c>
      <c r="C66" s="17">
        <f>'апрель факт'!C66+'май факт'!C66+'июнь факт'!C66</f>
        <v>0</v>
      </c>
      <c r="D66" s="17">
        <f>'апрель факт'!D66+'май факт'!D66+'июнь факт'!D66</f>
        <v>0</v>
      </c>
      <c r="E66" s="17">
        <f>'апрель факт'!E66+'май факт'!E66+'июнь факт'!E66</f>
        <v>39.427</v>
      </c>
      <c r="F66" s="18">
        <f>'апрель факт'!F66+'май факт'!F66+'июнь факт'!F66</f>
        <v>0</v>
      </c>
      <c r="G66" s="3"/>
      <c r="H66" s="141"/>
      <c r="I66" s="25"/>
      <c r="J66" s="25"/>
      <c r="K66" s="25"/>
      <c r="L66" s="25"/>
      <c r="M66" s="25"/>
      <c r="N66" s="139"/>
    </row>
    <row r="67" spans="1:14" ht="23.25">
      <c r="A67" s="98" t="s">
        <v>10</v>
      </c>
      <c r="B67" s="5">
        <f t="shared" si="0"/>
        <v>0</v>
      </c>
      <c r="C67" s="17">
        <f>'апрель факт'!C67+'май факт'!C67+'июнь факт'!C67</f>
        <v>0</v>
      </c>
      <c r="D67" s="17">
        <f>'апрель факт'!D67+'май факт'!D67+'июнь факт'!D67</f>
        <v>0</v>
      </c>
      <c r="E67" s="17">
        <f>'апрель факт'!E67+'май факт'!E67+'июнь факт'!E67</f>
        <v>0</v>
      </c>
      <c r="F67" s="18">
        <f>'апрель факт'!F67+'май факт'!F67+'июнь факт'!F67</f>
        <v>0</v>
      </c>
      <c r="G67" s="3"/>
      <c r="H67" s="142"/>
      <c r="I67" s="25"/>
      <c r="J67" s="145"/>
      <c r="K67" s="145"/>
      <c r="L67" s="145"/>
      <c r="M67" s="145"/>
      <c r="N67" s="139"/>
    </row>
    <row r="68" spans="1:14" ht="23.25">
      <c r="A68" s="98" t="s">
        <v>11</v>
      </c>
      <c r="B68" s="5">
        <f t="shared" si="0"/>
        <v>0</v>
      </c>
      <c r="C68" s="17">
        <f>'апрель факт'!C68+'май факт'!C68+'июнь факт'!C68</f>
        <v>0</v>
      </c>
      <c r="D68" s="17">
        <f>'апрель факт'!D68+'май факт'!D68+'июнь факт'!D68</f>
        <v>0</v>
      </c>
      <c r="E68" s="17">
        <f>'апрель факт'!E68+'май факт'!E68+'июнь факт'!E68</f>
        <v>0</v>
      </c>
      <c r="F68" s="18">
        <f>'апрель факт'!F68+'май факт'!F68+'июнь факт'!F68</f>
        <v>0</v>
      </c>
      <c r="G68" s="3"/>
      <c r="H68" s="142"/>
      <c r="I68" s="25"/>
      <c r="J68" s="135"/>
      <c r="K68" s="25"/>
      <c r="L68" s="25"/>
      <c r="M68" s="25"/>
      <c r="N68" s="139"/>
    </row>
    <row r="69" spans="1:14" ht="23.25">
      <c r="A69" s="98" t="s">
        <v>12</v>
      </c>
      <c r="B69" s="5">
        <f t="shared" si="0"/>
        <v>0</v>
      </c>
      <c r="C69" s="17">
        <f>'апрель факт'!C69+'май факт'!C69+'июнь факт'!C69</f>
        <v>0</v>
      </c>
      <c r="D69" s="17">
        <f>'апрель факт'!D69+'май факт'!D69+'июнь факт'!D69</f>
        <v>0</v>
      </c>
      <c r="E69" s="17">
        <f>'апрель факт'!E69+'май факт'!E69+'июнь факт'!E69</f>
        <v>0</v>
      </c>
      <c r="F69" s="18">
        <f>'апрель факт'!F69+'май факт'!F69+'июнь факт'!F69</f>
        <v>0</v>
      </c>
      <c r="G69" s="3"/>
      <c r="H69" s="142"/>
      <c r="I69" s="25"/>
      <c r="J69" s="135"/>
      <c r="K69" s="25"/>
      <c r="L69" s="34"/>
      <c r="M69" s="34"/>
      <c r="N69" s="139"/>
    </row>
    <row r="70" spans="1:14" ht="36">
      <c r="A70" s="110" t="s">
        <v>23</v>
      </c>
      <c r="B70" s="5">
        <f aca="true" t="shared" si="1" ref="B70:B114">C70+D70+E70+F70</f>
        <v>235.38100000000003</v>
      </c>
      <c r="C70" s="17">
        <f>'апрель факт'!C70+'май факт'!C70+'июнь факт'!C70</f>
        <v>0</v>
      </c>
      <c r="D70" s="17">
        <f>'апрель факт'!D70+'май факт'!D70+'июнь факт'!D70</f>
        <v>0</v>
      </c>
      <c r="E70" s="17">
        <f>'апрель факт'!E70+'май факт'!E70+'июнь факт'!E70</f>
        <v>0</v>
      </c>
      <c r="F70" s="18">
        <f>'апрель факт'!F70+'май факт'!F70+'июнь факт'!F70</f>
        <v>235.38100000000003</v>
      </c>
      <c r="G70" s="3"/>
      <c r="H70" s="142"/>
      <c r="I70" s="25"/>
      <c r="J70" s="135"/>
      <c r="K70" s="25"/>
      <c r="L70" s="34"/>
      <c r="M70" s="34"/>
      <c r="N70" s="139"/>
    </row>
    <row r="71" spans="1:14" ht="23.25">
      <c r="A71" s="98" t="s">
        <v>13</v>
      </c>
      <c r="B71" s="5">
        <f t="shared" si="1"/>
        <v>20.245</v>
      </c>
      <c r="C71" s="17">
        <f>'апрель факт'!C71+'май факт'!C71+'июнь факт'!C71</f>
        <v>0</v>
      </c>
      <c r="D71" s="17">
        <f>'апрель факт'!D71+'май факт'!D71+'июнь факт'!D71</f>
        <v>0</v>
      </c>
      <c r="E71" s="17">
        <f>'апрель факт'!E71+'май факт'!E71+'июнь факт'!E71</f>
        <v>0</v>
      </c>
      <c r="F71" s="18">
        <f>'апрель факт'!F71+'май факт'!F71+'июнь факт'!F71</f>
        <v>20.245</v>
      </c>
      <c r="G71" s="3"/>
      <c r="H71" s="141"/>
      <c r="I71" s="25"/>
      <c r="J71" s="135"/>
      <c r="K71" s="25"/>
      <c r="L71" s="25"/>
      <c r="M71" s="25"/>
      <c r="N71" s="139"/>
    </row>
    <row r="72" spans="1:14" ht="23.25">
      <c r="A72" s="98" t="s">
        <v>10</v>
      </c>
      <c r="B72" s="5">
        <f t="shared" si="1"/>
        <v>215.13600000000002</v>
      </c>
      <c r="C72" s="17">
        <f>'апрель факт'!C72+'май факт'!C72+'июнь факт'!C72</f>
        <v>0</v>
      </c>
      <c r="D72" s="17">
        <f>'апрель факт'!D72+'май факт'!D72+'июнь факт'!D72</f>
        <v>0</v>
      </c>
      <c r="E72" s="17">
        <f>'апрель факт'!E72+'май факт'!E72+'июнь факт'!E72</f>
        <v>0</v>
      </c>
      <c r="F72" s="18">
        <f>'апрель факт'!F72+'май факт'!F72+'июнь факт'!F72</f>
        <v>215.13600000000002</v>
      </c>
      <c r="G72" s="3"/>
      <c r="H72" s="142"/>
      <c r="I72" s="25"/>
      <c r="J72" s="135"/>
      <c r="K72" s="25"/>
      <c r="L72" s="25"/>
      <c r="M72" s="156"/>
      <c r="N72" s="139"/>
    </row>
    <row r="73" spans="1:14" ht="23.25">
      <c r="A73" s="98" t="s">
        <v>11</v>
      </c>
      <c r="B73" s="5">
        <f t="shared" si="1"/>
        <v>215.13600000000002</v>
      </c>
      <c r="C73" s="17">
        <f>'апрель факт'!C73+'май факт'!C73+'июнь факт'!C73</f>
        <v>0</v>
      </c>
      <c r="D73" s="17">
        <f>'апрель факт'!D73+'май факт'!D73+'июнь факт'!D73</f>
        <v>0</v>
      </c>
      <c r="E73" s="17">
        <f>'апрель факт'!E73+'май факт'!E73+'июнь факт'!E73</f>
        <v>0</v>
      </c>
      <c r="F73" s="18">
        <f>'апрель факт'!F73+'май факт'!F73+'июнь факт'!F73</f>
        <v>215.13600000000002</v>
      </c>
      <c r="G73" s="3"/>
      <c r="H73" s="142"/>
      <c r="I73" s="25"/>
      <c r="J73" s="135"/>
      <c r="K73" s="25"/>
      <c r="L73" s="25"/>
      <c r="M73" s="25"/>
      <c r="N73" s="139"/>
    </row>
    <row r="74" spans="1:14" ht="23.25">
      <c r="A74" s="98" t="s">
        <v>12</v>
      </c>
      <c r="B74" s="5">
        <f t="shared" si="1"/>
        <v>0</v>
      </c>
      <c r="C74" s="17">
        <f>'апрель факт'!C74+'май факт'!C74+'июнь факт'!C74</f>
        <v>0</v>
      </c>
      <c r="D74" s="17">
        <f>'апрель факт'!D74+'май факт'!D74+'июнь факт'!D74</f>
        <v>0</v>
      </c>
      <c r="E74" s="17">
        <f>'апрель факт'!E74+'май факт'!E74+'июнь факт'!E74</f>
        <v>0</v>
      </c>
      <c r="F74" s="18">
        <f>'апрель факт'!F74+'май факт'!F74+'июнь факт'!F74</f>
        <v>0</v>
      </c>
      <c r="G74" s="3"/>
      <c r="H74" s="142"/>
      <c r="I74" s="25"/>
      <c r="J74" s="135"/>
      <c r="K74" s="25"/>
      <c r="L74" s="34"/>
      <c r="M74" s="34"/>
      <c r="N74" s="139"/>
    </row>
    <row r="75" spans="1:14" ht="36">
      <c r="A75" s="110" t="s">
        <v>42</v>
      </c>
      <c r="B75" s="5">
        <f t="shared" si="1"/>
        <v>649.8499999999999</v>
      </c>
      <c r="C75" s="17">
        <f>'апрель факт'!C75+'май факт'!C75+'июнь факт'!C75</f>
        <v>0</v>
      </c>
      <c r="D75" s="17">
        <f>'апрель факт'!D75+'май факт'!D75+'июнь факт'!D75</f>
        <v>0</v>
      </c>
      <c r="E75" s="17">
        <f>'апрель факт'!E75+'май факт'!E75+'июнь факт'!E75</f>
        <v>36.185</v>
      </c>
      <c r="F75" s="18">
        <f>'апрель факт'!F75+'май факт'!F75+'июнь факт'!F75</f>
        <v>613.665</v>
      </c>
      <c r="G75" s="3"/>
      <c r="H75" s="142"/>
      <c r="I75" s="25"/>
      <c r="J75" s="135"/>
      <c r="K75" s="25"/>
      <c r="L75" s="34"/>
      <c r="M75" s="34"/>
      <c r="N75" s="139"/>
    </row>
    <row r="76" spans="1:14" ht="23.25">
      <c r="A76" s="98" t="s">
        <v>13</v>
      </c>
      <c r="B76" s="5">
        <f t="shared" si="1"/>
        <v>194.392</v>
      </c>
      <c r="C76" s="17">
        <f>'апрель факт'!C76+'май факт'!C76+'июнь факт'!C76</f>
        <v>0</v>
      </c>
      <c r="D76" s="17">
        <f>'апрель факт'!D76+'май факт'!D76+'июнь факт'!D76</f>
        <v>0</v>
      </c>
      <c r="E76" s="17">
        <f>'апрель факт'!E76+'май факт'!E76+'июнь факт'!E76</f>
        <v>36.185</v>
      </c>
      <c r="F76" s="18">
        <f>'апрель факт'!F76+'май факт'!F76+'июнь факт'!F76</f>
        <v>158.207</v>
      </c>
      <c r="G76" s="3"/>
      <c r="H76" s="141"/>
      <c r="I76" s="25"/>
      <c r="J76" s="135"/>
      <c r="K76" s="25"/>
      <c r="L76" s="25"/>
      <c r="M76" s="25"/>
      <c r="N76" s="139"/>
    </row>
    <row r="77" spans="1:14" ht="23.25">
      <c r="A77" s="98" t="s">
        <v>10</v>
      </c>
      <c r="B77" s="5">
        <f t="shared" si="1"/>
        <v>455.45799999999997</v>
      </c>
      <c r="C77" s="17">
        <f>'апрель факт'!C77+'май факт'!C77+'июнь факт'!C77</f>
        <v>0</v>
      </c>
      <c r="D77" s="17">
        <f>'апрель факт'!D77+'май факт'!D77+'июнь факт'!D77</f>
        <v>0</v>
      </c>
      <c r="E77" s="17">
        <f>'апрель факт'!E77+'май факт'!E77+'июнь факт'!E77</f>
        <v>0</v>
      </c>
      <c r="F77" s="18">
        <f>'апрель факт'!F77+'май факт'!F77+'июнь факт'!F77</f>
        <v>455.45799999999997</v>
      </c>
      <c r="G77" s="3"/>
      <c r="H77" s="142"/>
      <c r="I77" s="25"/>
      <c r="J77" s="135"/>
      <c r="K77" s="25"/>
      <c r="L77" s="156"/>
      <c r="M77" s="35"/>
      <c r="N77" s="139"/>
    </row>
    <row r="78" spans="1:14" ht="23.25">
      <c r="A78" s="98" t="s">
        <v>11</v>
      </c>
      <c r="B78" s="5">
        <f t="shared" si="1"/>
        <v>0</v>
      </c>
      <c r="C78" s="17">
        <f>'апрель факт'!C78+'май факт'!C78+'июнь факт'!C78</f>
        <v>0</v>
      </c>
      <c r="D78" s="17">
        <f>'апрель факт'!D78+'май факт'!D78+'июнь факт'!D78</f>
        <v>0</v>
      </c>
      <c r="E78" s="17">
        <f>'апрель факт'!E78+'май факт'!E78+'июнь факт'!E78</f>
        <v>0</v>
      </c>
      <c r="F78" s="18">
        <f>'апрель факт'!F78+'май факт'!F78+'июнь факт'!F78</f>
        <v>0</v>
      </c>
      <c r="G78" s="3"/>
      <c r="H78" s="142"/>
      <c r="I78" s="25"/>
      <c r="J78" s="135"/>
      <c r="K78" s="25"/>
      <c r="L78" s="25"/>
      <c r="M78" s="25"/>
      <c r="N78" s="139"/>
    </row>
    <row r="79" spans="1:14" ht="23.25">
      <c r="A79" s="98" t="s">
        <v>12</v>
      </c>
      <c r="B79" s="5">
        <f t="shared" si="1"/>
        <v>455.45799999999997</v>
      </c>
      <c r="C79" s="17">
        <f>'апрель факт'!C79+'май факт'!C79+'июнь факт'!C79</f>
        <v>0</v>
      </c>
      <c r="D79" s="17">
        <f>'апрель факт'!D79+'май факт'!D79+'июнь факт'!D79</f>
        <v>0</v>
      </c>
      <c r="E79" s="17">
        <f>'апрель факт'!E79+'май факт'!E79+'июнь факт'!E79</f>
        <v>0</v>
      </c>
      <c r="F79" s="18">
        <f>'апрель факт'!F79+'май факт'!F79+'июнь факт'!F79</f>
        <v>455.45799999999997</v>
      </c>
      <c r="G79" s="3"/>
      <c r="H79" s="142"/>
      <c r="I79" s="25"/>
      <c r="J79" s="135"/>
      <c r="K79" s="25"/>
      <c r="L79" s="25"/>
      <c r="M79" s="25"/>
      <c r="N79" s="139"/>
    </row>
    <row r="80" spans="1:14" ht="23.25">
      <c r="A80" s="110" t="s">
        <v>21</v>
      </c>
      <c r="B80" s="5">
        <f t="shared" si="1"/>
        <v>833.173</v>
      </c>
      <c r="C80" s="17">
        <f>'апрель факт'!C80+'май факт'!C80+'июнь факт'!C80</f>
        <v>0</v>
      </c>
      <c r="D80" s="17">
        <f>'апрель факт'!D80+'май факт'!D80+'июнь факт'!D80</f>
        <v>0</v>
      </c>
      <c r="E80" s="17">
        <f>'апрель факт'!E80+'май факт'!E80+'июнь факт'!E80</f>
        <v>833.173</v>
      </c>
      <c r="F80" s="18">
        <f>'апрель факт'!F80+'май факт'!F80+'июнь факт'!F80</f>
        <v>0</v>
      </c>
      <c r="G80" s="3"/>
      <c r="H80" s="142"/>
      <c r="I80" s="25"/>
      <c r="J80" s="135"/>
      <c r="K80" s="25"/>
      <c r="L80" s="25"/>
      <c r="M80" s="25"/>
      <c r="N80" s="139"/>
    </row>
    <row r="81" spans="1:14" ht="23.25">
      <c r="A81" s="98" t="s">
        <v>13</v>
      </c>
      <c r="B81" s="5">
        <f t="shared" si="1"/>
        <v>833.173</v>
      </c>
      <c r="C81" s="17">
        <f>'апрель факт'!C81+'май факт'!C81+'июнь факт'!C81</f>
        <v>0</v>
      </c>
      <c r="D81" s="17">
        <f>'апрель факт'!D81+'май факт'!D81+'июнь факт'!D81</f>
        <v>0</v>
      </c>
      <c r="E81" s="17">
        <f>'апрель факт'!E81+'май факт'!E81+'июнь факт'!E81</f>
        <v>833.173</v>
      </c>
      <c r="F81" s="18">
        <f>'апрель факт'!F81+'май факт'!F81+'июнь факт'!F81</f>
        <v>0</v>
      </c>
      <c r="G81" s="3"/>
      <c r="H81" s="141"/>
      <c r="I81" s="25"/>
      <c r="J81" s="25"/>
      <c r="K81" s="25"/>
      <c r="L81" s="25"/>
      <c r="M81" s="25"/>
      <c r="N81" s="139"/>
    </row>
    <row r="82" spans="1:14" ht="23.25">
      <c r="A82" s="98" t="s">
        <v>10</v>
      </c>
      <c r="B82" s="5">
        <f t="shared" si="1"/>
        <v>0</v>
      </c>
      <c r="C82" s="17">
        <f>'апрель факт'!C82+'май факт'!C82+'июнь факт'!C82</f>
        <v>0</v>
      </c>
      <c r="D82" s="17">
        <f>'апрель факт'!D82+'май факт'!D82+'июнь факт'!D82</f>
        <v>0</v>
      </c>
      <c r="E82" s="17">
        <f>'апрель факт'!E82+'май факт'!E82+'июнь факт'!E82</f>
        <v>0</v>
      </c>
      <c r="F82" s="18">
        <f>'апрель факт'!F82+'май факт'!F82+'июнь факт'!F82</f>
        <v>0</v>
      </c>
      <c r="G82" s="3"/>
      <c r="H82" s="142"/>
      <c r="I82" s="25"/>
      <c r="J82" s="145"/>
      <c r="K82" s="145"/>
      <c r="L82" s="145"/>
      <c r="M82" s="145"/>
      <c r="N82" s="139"/>
    </row>
    <row r="83" spans="1:14" ht="23.25">
      <c r="A83" s="98" t="s">
        <v>11</v>
      </c>
      <c r="B83" s="5">
        <f t="shared" si="1"/>
        <v>0</v>
      </c>
      <c r="C83" s="17">
        <f>'апрель факт'!C83+'май факт'!C83+'июнь факт'!C83</f>
        <v>0</v>
      </c>
      <c r="D83" s="17">
        <f>'апрель факт'!D83+'май факт'!D83+'июнь факт'!D83</f>
        <v>0</v>
      </c>
      <c r="E83" s="17">
        <f>'апрель факт'!E83+'май факт'!E83+'июнь факт'!E83</f>
        <v>0</v>
      </c>
      <c r="F83" s="18">
        <f>'апрель факт'!F83+'май факт'!F83+'июнь факт'!F83</f>
        <v>0</v>
      </c>
      <c r="G83" s="3"/>
      <c r="H83" s="142"/>
      <c r="I83" s="25"/>
      <c r="J83" s="135"/>
      <c r="K83" s="25"/>
      <c r="L83" s="25"/>
      <c r="M83" s="25"/>
      <c r="N83" s="139"/>
    </row>
    <row r="84" spans="1:14" ht="23.25">
      <c r="A84" s="98" t="s">
        <v>12</v>
      </c>
      <c r="B84" s="5">
        <f t="shared" si="1"/>
        <v>0</v>
      </c>
      <c r="C84" s="17">
        <f>'апрель факт'!C84+'май факт'!C84+'июнь факт'!C84</f>
        <v>0</v>
      </c>
      <c r="D84" s="17">
        <f>'апрель факт'!D84+'май факт'!D84+'июнь факт'!D84</f>
        <v>0</v>
      </c>
      <c r="E84" s="17">
        <f>'апрель факт'!E84+'май факт'!E84+'июнь факт'!E84</f>
        <v>0</v>
      </c>
      <c r="F84" s="18">
        <f>'апрель факт'!F84+'май факт'!F84+'июнь факт'!F84</f>
        <v>0</v>
      </c>
      <c r="G84" s="3"/>
      <c r="H84" s="142"/>
      <c r="I84" s="25"/>
      <c r="J84" s="135"/>
      <c r="K84" s="25"/>
      <c r="L84" s="34"/>
      <c r="M84" s="34"/>
      <c r="N84" s="139"/>
    </row>
    <row r="85" spans="1:14" ht="36">
      <c r="A85" s="110" t="s">
        <v>22</v>
      </c>
      <c r="B85" s="5">
        <f t="shared" si="1"/>
        <v>1226.9569999999999</v>
      </c>
      <c r="C85" s="17">
        <f>'апрель факт'!C85+'май факт'!C85+'июнь факт'!C85</f>
        <v>0</v>
      </c>
      <c r="D85" s="17">
        <f>'апрель факт'!D85+'май факт'!D85+'июнь факт'!D85</f>
        <v>0</v>
      </c>
      <c r="E85" s="17">
        <f>'апрель факт'!E85+'май факт'!E85+'июнь факт'!E85</f>
        <v>1226.9569999999999</v>
      </c>
      <c r="F85" s="18">
        <f>'апрель факт'!F85+'май факт'!F85+'июнь факт'!F85</f>
        <v>0</v>
      </c>
      <c r="G85" s="3"/>
      <c r="H85" s="142"/>
      <c r="I85" s="25"/>
      <c r="J85" s="135"/>
      <c r="K85" s="25"/>
      <c r="L85" s="34"/>
      <c r="M85" s="34"/>
      <c r="N85" s="139"/>
    </row>
    <row r="86" spans="1:14" ht="23.25">
      <c r="A86" s="98" t="s">
        <v>13</v>
      </c>
      <c r="B86" s="5">
        <f t="shared" si="1"/>
        <v>1226.9569999999999</v>
      </c>
      <c r="C86" s="17">
        <f>'апрель факт'!C86+'май факт'!C86+'июнь факт'!C86</f>
        <v>0</v>
      </c>
      <c r="D86" s="17">
        <f>'апрель факт'!D86+'май факт'!D86+'июнь факт'!D86</f>
        <v>0</v>
      </c>
      <c r="E86" s="17">
        <f>'апрель факт'!E86+'май факт'!E86+'июнь факт'!E86</f>
        <v>1226.9569999999999</v>
      </c>
      <c r="F86" s="18">
        <f>'апрель факт'!F86+'май факт'!F86+'июнь факт'!F86</f>
        <v>0</v>
      </c>
      <c r="G86" s="3"/>
      <c r="H86" s="141"/>
      <c r="I86" s="25"/>
      <c r="J86" s="135"/>
      <c r="K86" s="25"/>
      <c r="L86" s="25"/>
      <c r="M86" s="25"/>
      <c r="N86" s="139"/>
    </row>
    <row r="87" spans="1:14" ht="23.25">
      <c r="A87" s="98" t="s">
        <v>10</v>
      </c>
      <c r="B87" s="5">
        <f t="shared" si="1"/>
        <v>0</v>
      </c>
      <c r="C87" s="17">
        <f>'апрель факт'!C87+'май факт'!C87+'июнь факт'!C87</f>
        <v>0</v>
      </c>
      <c r="D87" s="17">
        <f>'апрель факт'!D87+'май факт'!D87+'июнь факт'!D87</f>
        <v>0</v>
      </c>
      <c r="E87" s="17">
        <f>'апрель факт'!E87+'май факт'!E87+'июнь факт'!E87</f>
        <v>0</v>
      </c>
      <c r="F87" s="18">
        <f>'апрель факт'!F87+'май факт'!F87+'июнь факт'!F87</f>
        <v>0</v>
      </c>
      <c r="G87" s="3"/>
      <c r="H87" s="142"/>
      <c r="I87" s="25"/>
      <c r="J87" s="135"/>
      <c r="K87" s="25"/>
      <c r="L87" s="25"/>
      <c r="M87" s="156"/>
      <c r="N87" s="139"/>
    </row>
    <row r="88" spans="1:14" ht="23.25">
      <c r="A88" s="98" t="s">
        <v>11</v>
      </c>
      <c r="B88" s="5">
        <f t="shared" si="1"/>
        <v>0</v>
      </c>
      <c r="C88" s="17">
        <f>'апрель факт'!C88+'май факт'!C88+'июнь факт'!C88</f>
        <v>0</v>
      </c>
      <c r="D88" s="17">
        <f>'апрель факт'!D88+'май факт'!D88+'июнь факт'!D88</f>
        <v>0</v>
      </c>
      <c r="E88" s="17">
        <f>'апрель факт'!E88+'май факт'!E88+'июнь факт'!E88</f>
        <v>0</v>
      </c>
      <c r="F88" s="18">
        <f>'апрель факт'!F88+'май факт'!F88+'июнь факт'!F88</f>
        <v>0</v>
      </c>
      <c r="G88" s="3"/>
      <c r="H88" s="142"/>
      <c r="I88" s="25"/>
      <c r="J88" s="135"/>
      <c r="K88" s="25"/>
      <c r="L88" s="25"/>
      <c r="M88" s="25"/>
      <c r="N88" s="139"/>
    </row>
    <row r="89" spans="1:14" ht="23.25">
      <c r="A89" s="98" t="s">
        <v>12</v>
      </c>
      <c r="B89" s="5">
        <f t="shared" si="1"/>
        <v>0</v>
      </c>
      <c r="C89" s="17">
        <f>'апрель факт'!C89+'май факт'!C89+'июнь факт'!C89</f>
        <v>0</v>
      </c>
      <c r="D89" s="17">
        <f>'апрель факт'!D89+'май факт'!D89+'июнь факт'!D89</f>
        <v>0</v>
      </c>
      <c r="E89" s="17">
        <f>'апрель факт'!E89+'май факт'!E89+'июнь факт'!E89</f>
        <v>0</v>
      </c>
      <c r="F89" s="18">
        <f>'апрель факт'!F89+'май факт'!F89+'июнь факт'!F89</f>
        <v>0</v>
      </c>
      <c r="G89" s="3"/>
      <c r="H89" s="142"/>
      <c r="I89" s="25"/>
      <c r="J89" s="135"/>
      <c r="K89" s="25"/>
      <c r="L89" s="34"/>
      <c r="M89" s="34"/>
      <c r="N89" s="139"/>
    </row>
    <row r="90" spans="1:14" ht="23.25">
      <c r="A90" s="110" t="s">
        <v>49</v>
      </c>
      <c r="B90" s="5">
        <f t="shared" si="1"/>
        <v>0</v>
      </c>
      <c r="C90" s="17">
        <f>'апрель факт'!C90+'май факт'!C90+'июнь факт'!C90</f>
        <v>0</v>
      </c>
      <c r="D90" s="17">
        <f>'апрель факт'!D90+'май факт'!D90+'июнь факт'!D90</f>
        <v>0</v>
      </c>
      <c r="E90" s="17">
        <f>'апрель факт'!E90+'май факт'!E90+'июнь факт'!E90</f>
        <v>0</v>
      </c>
      <c r="F90" s="18">
        <f>'апрель факт'!F90+'май факт'!F90+'июнь факт'!F90</f>
        <v>0</v>
      </c>
      <c r="G90" s="3"/>
      <c r="H90" s="142"/>
      <c r="I90" s="25"/>
      <c r="J90" s="135"/>
      <c r="K90" s="25"/>
      <c r="L90" s="34"/>
      <c r="M90" s="34"/>
      <c r="N90" s="139"/>
    </row>
    <row r="91" spans="1:14" ht="23.25">
      <c r="A91" s="98" t="s">
        <v>13</v>
      </c>
      <c r="B91" s="5">
        <f t="shared" si="1"/>
        <v>0</v>
      </c>
      <c r="C91" s="17">
        <f>'апрель факт'!C91+'май факт'!C91+'июнь факт'!C91</f>
        <v>0</v>
      </c>
      <c r="D91" s="17">
        <f>'апрель факт'!D91+'май факт'!D91+'июнь факт'!D91</f>
        <v>0</v>
      </c>
      <c r="E91" s="17">
        <f>'апрель факт'!E91+'май факт'!E91+'июнь факт'!E91</f>
        <v>0</v>
      </c>
      <c r="F91" s="18">
        <f>'апрель факт'!F91+'май факт'!F91+'июнь факт'!F91</f>
        <v>0</v>
      </c>
      <c r="G91" s="3"/>
      <c r="H91" s="141"/>
      <c r="I91" s="25"/>
      <c r="J91" s="135"/>
      <c r="K91" s="25"/>
      <c r="L91" s="25"/>
      <c r="M91" s="25"/>
      <c r="N91" s="139"/>
    </row>
    <row r="92" spans="1:14" ht="23.25">
      <c r="A92" s="98" t="s">
        <v>10</v>
      </c>
      <c r="B92" s="5">
        <f t="shared" si="1"/>
        <v>0</v>
      </c>
      <c r="C92" s="17">
        <f>'апрель факт'!C92+'май факт'!C92+'июнь факт'!C92</f>
        <v>0</v>
      </c>
      <c r="D92" s="17">
        <f>'апрель факт'!D92+'май факт'!D92+'июнь факт'!D92</f>
        <v>0</v>
      </c>
      <c r="E92" s="17">
        <f>'апрель факт'!E92+'май факт'!E92+'июнь факт'!E92</f>
        <v>0</v>
      </c>
      <c r="F92" s="18">
        <f>'апрель факт'!F92+'май факт'!F92+'июнь факт'!F92</f>
        <v>0</v>
      </c>
      <c r="G92" s="3"/>
      <c r="H92" s="142"/>
      <c r="I92" s="25"/>
      <c r="J92" s="135"/>
      <c r="K92" s="25"/>
      <c r="L92" s="25"/>
      <c r="M92" s="156"/>
      <c r="N92" s="139"/>
    </row>
    <row r="93" spans="1:14" ht="23.25">
      <c r="A93" s="98" t="s">
        <v>11</v>
      </c>
      <c r="B93" s="5">
        <f t="shared" si="1"/>
        <v>0</v>
      </c>
      <c r="C93" s="17">
        <f>'апрель факт'!C93+'май факт'!C93+'июнь факт'!C93</f>
        <v>0</v>
      </c>
      <c r="D93" s="17">
        <f>'апрель факт'!D93+'май факт'!D93+'июнь факт'!D93</f>
        <v>0</v>
      </c>
      <c r="E93" s="17">
        <f>'апрель факт'!E93+'май факт'!E93+'июнь факт'!E93</f>
        <v>0</v>
      </c>
      <c r="F93" s="18">
        <f>'апрель факт'!F93+'май факт'!F93+'июнь факт'!F93</f>
        <v>0</v>
      </c>
      <c r="G93" s="3"/>
      <c r="H93" s="142"/>
      <c r="I93" s="25"/>
      <c r="J93" s="135"/>
      <c r="K93" s="25"/>
      <c r="L93" s="25"/>
      <c r="M93" s="25"/>
      <c r="N93" s="139"/>
    </row>
    <row r="94" spans="1:14" ht="23.25">
      <c r="A94" s="98" t="s">
        <v>12</v>
      </c>
      <c r="B94" s="5">
        <f t="shared" si="1"/>
        <v>0</v>
      </c>
      <c r="C94" s="17">
        <f>'апрель факт'!C94+'май факт'!C94+'июнь факт'!C94</f>
        <v>0</v>
      </c>
      <c r="D94" s="17">
        <f>'апрель факт'!D94+'май факт'!D94+'июнь факт'!D94</f>
        <v>0</v>
      </c>
      <c r="E94" s="17">
        <f>'апрель факт'!E94+'май факт'!E94+'июнь факт'!E94</f>
        <v>0</v>
      </c>
      <c r="F94" s="18">
        <f>'апрель факт'!F94+'май факт'!F94+'июнь факт'!F94</f>
        <v>0</v>
      </c>
      <c r="G94" s="3"/>
      <c r="H94" s="142"/>
      <c r="I94" s="25"/>
      <c r="J94" s="135"/>
      <c r="K94" s="25"/>
      <c r="L94" s="25"/>
      <c r="M94" s="25"/>
      <c r="N94" s="139"/>
    </row>
    <row r="95" spans="1:14" ht="23.25">
      <c r="A95" s="110" t="s">
        <v>70</v>
      </c>
      <c r="B95" s="5">
        <f>C95+D95+E95+F95</f>
        <v>47.608000000000004</v>
      </c>
      <c r="C95" s="17">
        <f>'апрель факт'!C90+'май факт'!C95+'июнь факт'!C95</f>
        <v>0</v>
      </c>
      <c r="D95" s="17">
        <f>'апрель факт'!D90+'май факт'!D95+'июнь факт'!D95</f>
        <v>0</v>
      </c>
      <c r="E95" s="17">
        <f>'апрель факт'!E90+'май факт'!E95+'июнь факт'!E95</f>
        <v>47.608000000000004</v>
      </c>
      <c r="F95" s="18">
        <f>'апрель факт'!F90+'май факт'!F95+'июнь факт'!F95</f>
        <v>0</v>
      </c>
      <c r="G95" s="3"/>
      <c r="H95" s="142"/>
      <c r="I95" s="25"/>
      <c r="J95" s="135"/>
      <c r="K95" s="25"/>
      <c r="L95" s="25"/>
      <c r="M95" s="25"/>
      <c r="N95" s="139"/>
    </row>
    <row r="96" spans="1:14" ht="23.25">
      <c r="A96" s="98" t="s">
        <v>13</v>
      </c>
      <c r="B96" s="5">
        <f>C96+D96+E96+F96</f>
        <v>47.608000000000004</v>
      </c>
      <c r="C96" s="17">
        <f>'апрель факт'!C91+'май факт'!C96+'июнь факт'!C96</f>
        <v>0</v>
      </c>
      <c r="D96" s="17">
        <f>'апрель факт'!D91+'май факт'!D96+'июнь факт'!D96</f>
        <v>0</v>
      </c>
      <c r="E96" s="17">
        <f>'апрель факт'!E91+'май факт'!E96+'июнь факт'!E96</f>
        <v>47.608000000000004</v>
      </c>
      <c r="F96" s="18">
        <f>'апрель факт'!F91+'май факт'!F96+'июнь факт'!F96</f>
        <v>0</v>
      </c>
      <c r="G96" s="3"/>
      <c r="H96" s="141"/>
      <c r="I96" s="25"/>
      <c r="J96" s="35"/>
      <c r="K96" s="25"/>
      <c r="L96" s="35"/>
      <c r="M96" s="35"/>
      <c r="N96" s="139"/>
    </row>
    <row r="97" spans="1:14" ht="23.25">
      <c r="A97" s="98" t="s">
        <v>10</v>
      </c>
      <c r="B97" s="5">
        <f>C97+D97+E97+F97</f>
        <v>0</v>
      </c>
      <c r="C97" s="17">
        <f>'апрель факт'!C92+'май факт'!C97+'июнь факт'!C97</f>
        <v>0</v>
      </c>
      <c r="D97" s="17">
        <f>'апрель факт'!D92+'май факт'!D97+'июнь факт'!D97</f>
        <v>0</v>
      </c>
      <c r="E97" s="17">
        <f>'апрель факт'!E92+'май факт'!E97+'июнь факт'!E97</f>
        <v>0</v>
      </c>
      <c r="F97" s="18">
        <f>'апрель факт'!F92+'май факт'!F97+'июнь факт'!F97</f>
        <v>0</v>
      </c>
      <c r="G97" s="3"/>
      <c r="H97" s="142"/>
      <c r="I97" s="25"/>
      <c r="J97" s="25"/>
      <c r="K97" s="25"/>
      <c r="L97" s="35"/>
      <c r="M97" s="35"/>
      <c r="N97" s="139"/>
    </row>
    <row r="98" spans="1:14" ht="23.25">
      <c r="A98" s="98" t="s">
        <v>11</v>
      </c>
      <c r="B98" s="5">
        <f>C98+D98+E98+F98</f>
        <v>0</v>
      </c>
      <c r="C98" s="17">
        <f>'апрель факт'!C93+'май факт'!C98+'июнь факт'!C98</f>
        <v>0</v>
      </c>
      <c r="D98" s="17">
        <f>'апрель факт'!D93+'май факт'!D98+'июнь факт'!D98</f>
        <v>0</v>
      </c>
      <c r="E98" s="17">
        <f>'апрель факт'!E93+'май факт'!E98+'июнь факт'!E98</f>
        <v>0</v>
      </c>
      <c r="F98" s="18">
        <f>'апрель факт'!F93+'май факт'!F98+'июнь факт'!F98</f>
        <v>0</v>
      </c>
      <c r="G98" s="3"/>
      <c r="H98" s="142"/>
      <c r="I98" s="25"/>
      <c r="J98" s="25"/>
      <c r="K98" s="25"/>
      <c r="L98" s="35"/>
      <c r="M98" s="35"/>
      <c r="N98" s="139"/>
    </row>
    <row r="99" spans="1:14" ht="23.25">
      <c r="A99" s="98" t="s">
        <v>12</v>
      </c>
      <c r="B99" s="5">
        <f>C99+D99+E99+F99</f>
        <v>0</v>
      </c>
      <c r="C99" s="17">
        <f>'апрель факт'!C94+'май факт'!C99+'июнь факт'!C99</f>
        <v>0</v>
      </c>
      <c r="D99" s="17">
        <f>'апрель факт'!D94+'май факт'!D99+'июнь факт'!D99</f>
        <v>0</v>
      </c>
      <c r="E99" s="17">
        <f>'апрель факт'!E94+'май факт'!E99+'июнь факт'!E99</f>
        <v>0</v>
      </c>
      <c r="F99" s="18">
        <f>'апрель факт'!F94+'май факт'!F99+'июнь факт'!F99</f>
        <v>0</v>
      </c>
      <c r="G99" s="3"/>
      <c r="H99" s="142"/>
      <c r="I99" s="25"/>
      <c r="J99" s="25"/>
      <c r="K99" s="25"/>
      <c r="L99" s="135"/>
      <c r="M99" s="135"/>
      <c r="N99" s="139"/>
    </row>
    <row r="100" spans="1:14" ht="23.25">
      <c r="A100" s="110" t="s">
        <v>8</v>
      </c>
      <c r="B100" s="5">
        <f t="shared" si="1"/>
        <v>4191.449</v>
      </c>
      <c r="C100" s="17">
        <f>'апрель факт'!C95+'май факт'!C100+'июнь факт'!C100</f>
        <v>0</v>
      </c>
      <c r="D100" s="17">
        <f>'апрель факт'!D95+'май факт'!D100+'июнь факт'!D100</f>
        <v>0</v>
      </c>
      <c r="E100" s="17">
        <f>'апрель факт'!E95+'май факт'!E100+'июнь факт'!E100</f>
        <v>1995.2769999999998</v>
      </c>
      <c r="F100" s="18">
        <f>'апрель факт'!F95+'май факт'!F100+'июнь факт'!F100</f>
        <v>2196.172</v>
      </c>
      <c r="G100" s="3"/>
      <c r="H100" s="142"/>
      <c r="I100" s="25"/>
      <c r="J100" s="25"/>
      <c r="K100" s="25"/>
      <c r="L100" s="135"/>
      <c r="M100" s="135"/>
      <c r="N100" s="139"/>
    </row>
    <row r="101" spans="1:14" ht="23.25">
      <c r="A101" s="98" t="s">
        <v>13</v>
      </c>
      <c r="B101" s="5">
        <f t="shared" si="1"/>
        <v>2103.602</v>
      </c>
      <c r="C101" s="17">
        <f>'апрель факт'!C96+'май факт'!C101+'июнь факт'!C101</f>
        <v>0</v>
      </c>
      <c r="D101" s="17">
        <f>'апрель факт'!D96+'май факт'!D101+'июнь факт'!D101</f>
        <v>0</v>
      </c>
      <c r="E101" s="17">
        <f>'апрель факт'!E96+'май факт'!E101+'июнь факт'!E101</f>
        <v>1643.1009999999999</v>
      </c>
      <c r="F101" s="18">
        <f>'апрель факт'!F96+'май факт'!F101+'июнь факт'!F101</f>
        <v>460.50100000000003</v>
      </c>
      <c r="G101" s="3"/>
      <c r="H101" s="141"/>
      <c r="I101" s="25"/>
      <c r="J101" s="35"/>
      <c r="K101" s="25"/>
      <c r="L101" s="35"/>
      <c r="M101" s="35"/>
      <c r="N101" s="139"/>
    </row>
    <row r="102" spans="1:14" ht="23.25">
      <c r="A102" s="98" t="s">
        <v>10</v>
      </c>
      <c r="B102" s="5">
        <f t="shared" si="1"/>
        <v>2087.847</v>
      </c>
      <c r="C102" s="17">
        <f>'апрель факт'!C97+'май факт'!C102+'июнь факт'!C102</f>
        <v>0</v>
      </c>
      <c r="D102" s="17">
        <f>'апрель факт'!D97+'май факт'!D102+'июнь факт'!D102</f>
        <v>0</v>
      </c>
      <c r="E102" s="17">
        <f>'апрель факт'!E97+'май факт'!E102+'июнь факт'!E102</f>
        <v>352.17600000000004</v>
      </c>
      <c r="F102" s="18">
        <f>'апрель факт'!F97+'май факт'!F102+'июнь факт'!F102</f>
        <v>1735.671</v>
      </c>
      <c r="G102" s="3"/>
      <c r="H102" s="142"/>
      <c r="I102" s="25"/>
      <c r="J102" s="35"/>
      <c r="K102" s="25"/>
      <c r="L102" s="35"/>
      <c r="M102" s="35"/>
      <c r="N102" s="139"/>
    </row>
    <row r="103" spans="1:14" ht="23.25">
      <c r="A103" s="98" t="s">
        <v>11</v>
      </c>
      <c r="B103" s="5">
        <f t="shared" si="1"/>
        <v>1767.055</v>
      </c>
      <c r="C103" s="17">
        <f>'апрель факт'!C98+'май факт'!C103+'июнь факт'!C103</f>
        <v>0</v>
      </c>
      <c r="D103" s="17">
        <f>'апрель факт'!D98+'май факт'!D103+'июнь факт'!D103</f>
        <v>0</v>
      </c>
      <c r="E103" s="17">
        <f>'апрель факт'!E98+'май факт'!E103+'июнь факт'!E103</f>
        <v>345.578</v>
      </c>
      <c r="F103" s="18">
        <f>'апрель факт'!F98+'май факт'!F103+'июнь факт'!F103</f>
        <v>1421.477</v>
      </c>
      <c r="G103" s="3"/>
      <c r="H103" s="142"/>
      <c r="I103" s="25"/>
      <c r="J103" s="25"/>
      <c r="K103" s="25"/>
      <c r="L103" s="35"/>
      <c r="M103" s="35"/>
      <c r="N103" s="139"/>
    </row>
    <row r="104" spans="1:14" ht="23.25">
      <c r="A104" s="98" t="s">
        <v>12</v>
      </c>
      <c r="B104" s="5">
        <f t="shared" si="1"/>
        <v>320.79200000000003</v>
      </c>
      <c r="C104" s="17">
        <f>'апрель факт'!C99+'май факт'!C104+'июнь факт'!C104</f>
        <v>0</v>
      </c>
      <c r="D104" s="17">
        <f>'апрель факт'!D99+'май факт'!D104+'июнь факт'!D104</f>
        <v>0</v>
      </c>
      <c r="E104" s="17">
        <f>'апрель факт'!E99+'май факт'!E104+'июнь факт'!E104</f>
        <v>6.597999999999999</v>
      </c>
      <c r="F104" s="18">
        <f>'апрель факт'!F99+'май факт'!F104+'июнь факт'!F104</f>
        <v>314.194</v>
      </c>
      <c r="G104" s="3"/>
      <c r="H104" s="142"/>
      <c r="I104" s="25"/>
      <c r="J104" s="135"/>
      <c r="K104" s="135"/>
      <c r="L104" s="135"/>
      <c r="M104" s="135"/>
      <c r="N104" s="139"/>
    </row>
    <row r="105" spans="1:14" ht="23.25">
      <c r="A105" s="110" t="s">
        <v>5</v>
      </c>
      <c r="B105" s="5">
        <f t="shared" si="1"/>
        <v>8756.83</v>
      </c>
      <c r="C105" s="17">
        <f>'апрель факт'!C100+'май факт'!C105+'июнь факт'!C105</f>
        <v>971.284</v>
      </c>
      <c r="D105" s="17">
        <f>'апрель факт'!D100+'май факт'!D105+'июнь факт'!D105</f>
        <v>0</v>
      </c>
      <c r="E105" s="17">
        <f>'апрель факт'!E100+'май факт'!E105+'июнь факт'!E105</f>
        <v>5368.416</v>
      </c>
      <c r="F105" s="18">
        <f>'апрель факт'!F100+'май факт'!F105+'июнь факт'!F105</f>
        <v>2417.13</v>
      </c>
      <c r="G105" s="3"/>
      <c r="H105" s="142"/>
      <c r="I105" s="25"/>
      <c r="J105" s="135"/>
      <c r="K105" s="135"/>
      <c r="L105" s="135"/>
      <c r="M105" s="135"/>
      <c r="N105" s="139"/>
    </row>
    <row r="106" spans="1:14" ht="23.25">
      <c r="A106" s="98" t="s">
        <v>13</v>
      </c>
      <c r="B106" s="5">
        <f t="shared" si="1"/>
        <v>5851.004999999999</v>
      </c>
      <c r="C106" s="17">
        <f>'апрель факт'!C101+'май факт'!C106+'июнь факт'!C106</f>
        <v>971.284</v>
      </c>
      <c r="D106" s="17">
        <f>'апрель факт'!D101+'май факт'!D106+'июнь факт'!D106</f>
        <v>0</v>
      </c>
      <c r="E106" s="17">
        <f>'апрель факт'!E101+'май факт'!E106+'июнь факт'!E106</f>
        <v>4043.4179999999997</v>
      </c>
      <c r="F106" s="18">
        <f>'апрель факт'!F101+'май факт'!F106+'июнь факт'!F106</f>
        <v>836.3030000000001</v>
      </c>
      <c r="G106" s="3"/>
      <c r="H106" s="141"/>
      <c r="I106" s="25"/>
      <c r="J106" s="35"/>
      <c r="K106" s="25"/>
      <c r="L106" s="35"/>
      <c r="M106" s="35"/>
      <c r="N106" s="139"/>
    </row>
    <row r="107" spans="1:14" ht="23.25">
      <c r="A107" s="98" t="s">
        <v>10</v>
      </c>
      <c r="B107" s="5">
        <f t="shared" si="1"/>
        <v>2905.825</v>
      </c>
      <c r="C107" s="17">
        <f>'апрель факт'!C102+'май факт'!C107+'июнь факт'!C107</f>
        <v>0</v>
      </c>
      <c r="D107" s="17">
        <f>'апрель факт'!D102+'май факт'!D107+'июнь факт'!D107</f>
        <v>0</v>
      </c>
      <c r="E107" s="17">
        <f>'апрель факт'!E102+'май факт'!E107+'июнь факт'!E107</f>
        <v>1324.998</v>
      </c>
      <c r="F107" s="18">
        <f>'апрель факт'!F102+'май факт'!F107+'июнь факт'!F107</f>
        <v>1580.827</v>
      </c>
      <c r="G107" s="3"/>
      <c r="H107" s="142"/>
      <c r="I107" s="25"/>
      <c r="J107" s="25"/>
      <c r="K107" s="25"/>
      <c r="L107" s="35"/>
      <c r="M107" s="35"/>
      <c r="N107" s="139"/>
    </row>
    <row r="108" spans="1:14" ht="23.25">
      <c r="A108" s="98" t="s">
        <v>11</v>
      </c>
      <c r="B108" s="5">
        <f t="shared" si="1"/>
        <v>2885.626</v>
      </c>
      <c r="C108" s="17">
        <f>'апрель факт'!C103+'май факт'!C108+'июнь факт'!C108</f>
        <v>0</v>
      </c>
      <c r="D108" s="17">
        <f>'апрель факт'!D103+'май факт'!D108+'июнь факт'!D108</f>
        <v>0</v>
      </c>
      <c r="E108" s="17">
        <f>'апрель факт'!E103+'май факт'!E108+'июнь факт'!E108</f>
        <v>1304.799</v>
      </c>
      <c r="F108" s="18">
        <f>'апрель факт'!F103+'май факт'!F108+'июнь факт'!F108</f>
        <v>1580.827</v>
      </c>
      <c r="G108" s="3"/>
      <c r="H108" s="142"/>
      <c r="I108" s="25"/>
      <c r="J108" s="25"/>
      <c r="K108" s="25"/>
      <c r="L108" s="35"/>
      <c r="M108" s="35"/>
      <c r="N108" s="139"/>
    </row>
    <row r="109" spans="1:14" ht="23.25">
      <c r="A109" s="98" t="s">
        <v>12</v>
      </c>
      <c r="B109" s="5">
        <f t="shared" si="1"/>
        <v>20.198999999999998</v>
      </c>
      <c r="C109" s="17">
        <f>'апрель факт'!C104+'май факт'!C109+'июнь факт'!C109</f>
        <v>0</v>
      </c>
      <c r="D109" s="17">
        <f>'апрель факт'!D104+'май факт'!D109+'июнь факт'!D109</f>
        <v>0</v>
      </c>
      <c r="E109" s="17">
        <f>'апрель факт'!E104+'май факт'!E109+'июнь факт'!E109</f>
        <v>20.198999999999998</v>
      </c>
      <c r="F109" s="18">
        <f>'апрель факт'!F104+'май факт'!F109+'июнь факт'!F109</f>
        <v>0</v>
      </c>
      <c r="G109" s="3"/>
      <c r="H109" s="142"/>
      <c r="I109" s="25"/>
      <c r="J109" s="34"/>
      <c r="K109" s="25"/>
      <c r="L109" s="135"/>
      <c r="M109" s="135"/>
      <c r="N109" s="139"/>
    </row>
    <row r="110" spans="1:14" ht="36">
      <c r="A110" s="110" t="s">
        <v>43</v>
      </c>
      <c r="B110" s="5">
        <f t="shared" si="1"/>
        <v>16118.242999999999</v>
      </c>
      <c r="C110" s="17">
        <f>'апрель факт'!C105+'май факт'!C110+'июнь факт'!C110</f>
        <v>0</v>
      </c>
      <c r="D110" s="17">
        <f>'апрель факт'!D105+'май факт'!D110+'июнь факт'!D110</f>
        <v>0</v>
      </c>
      <c r="E110" s="17">
        <f>'апрель факт'!E105+'май факт'!E110+'июнь факт'!E110</f>
        <v>3490.541</v>
      </c>
      <c r="F110" s="18">
        <f>'апрель факт'!F105+'май факт'!F110+'июнь факт'!F110</f>
        <v>12627.701999999997</v>
      </c>
      <c r="G110" s="3"/>
      <c r="H110" s="142"/>
      <c r="I110" s="25"/>
      <c r="J110" s="34"/>
      <c r="K110" s="25"/>
      <c r="L110" s="135"/>
      <c r="M110" s="135"/>
      <c r="N110" s="139"/>
    </row>
    <row r="111" spans="1:14" ht="23.25">
      <c r="A111" s="98" t="s">
        <v>13</v>
      </c>
      <c r="B111" s="5">
        <f t="shared" si="1"/>
        <v>7133.379999999999</v>
      </c>
      <c r="C111" s="17">
        <f>'апрель факт'!C106+'май факт'!C111+'июнь факт'!C111</f>
        <v>0</v>
      </c>
      <c r="D111" s="17">
        <f>'апрель факт'!D106+'май факт'!D111+'июнь факт'!D111</f>
        <v>0</v>
      </c>
      <c r="E111" s="17">
        <f>'апрель факт'!E106+'май факт'!E111+'июнь факт'!E111</f>
        <v>3371.5919999999996</v>
      </c>
      <c r="F111" s="18">
        <f>'апрель факт'!F106+'май факт'!F111+'июнь факт'!F111</f>
        <v>3761.7879999999996</v>
      </c>
      <c r="G111" s="3"/>
      <c r="H111" s="142"/>
      <c r="I111" s="25"/>
      <c r="J111" s="35"/>
      <c r="K111" s="35"/>
      <c r="L111" s="35"/>
      <c r="M111" s="35"/>
      <c r="N111" s="139"/>
    </row>
    <row r="112" spans="1:14" ht="23.25">
      <c r="A112" s="98" t="s">
        <v>10</v>
      </c>
      <c r="B112" s="5">
        <f t="shared" si="1"/>
        <v>8984.863000000001</v>
      </c>
      <c r="C112" s="17">
        <f>'апрель факт'!C107+'май факт'!C112+'июнь факт'!C112</f>
        <v>0</v>
      </c>
      <c r="D112" s="17">
        <f>'апрель факт'!D107+'май факт'!D112+'июнь факт'!D112</f>
        <v>0</v>
      </c>
      <c r="E112" s="17">
        <f>'апрель факт'!E107+'май факт'!E112+'июнь факт'!E112</f>
        <v>118.94900000000001</v>
      </c>
      <c r="F112" s="18">
        <f>'апрель факт'!F107+'май факт'!F112+'июнь факт'!F112</f>
        <v>8865.914</v>
      </c>
      <c r="G112" s="3"/>
      <c r="H112" s="142"/>
      <c r="I112" s="25"/>
      <c r="J112" s="35"/>
      <c r="K112" s="35"/>
      <c r="L112" s="35"/>
      <c r="M112" s="35"/>
      <c r="N112" s="139"/>
    </row>
    <row r="113" spans="1:14" ht="23.25">
      <c r="A113" s="98" t="s">
        <v>11</v>
      </c>
      <c r="B113" s="5">
        <f t="shared" si="1"/>
        <v>872.2219999999999</v>
      </c>
      <c r="C113" s="17">
        <f>'апрель факт'!C108+'май факт'!C113+'июнь факт'!C113</f>
        <v>0</v>
      </c>
      <c r="D113" s="17">
        <f>'апрель факт'!D108+'май факт'!D113+'июнь факт'!D113</f>
        <v>0</v>
      </c>
      <c r="E113" s="17">
        <f>'апрель факт'!E108+'май факт'!E113+'июнь факт'!E113</f>
        <v>44.266000000000005</v>
      </c>
      <c r="F113" s="18">
        <f>'апрель факт'!F108+'май факт'!F113+'июнь факт'!F113</f>
        <v>827.9559999999999</v>
      </c>
      <c r="G113" s="3"/>
      <c r="H113" s="142"/>
      <c r="I113" s="25"/>
      <c r="J113" s="35"/>
      <c r="K113" s="35"/>
      <c r="L113" s="35"/>
      <c r="M113" s="35"/>
      <c r="N113" s="139"/>
    </row>
    <row r="114" spans="1:14" ht="24" thickBot="1">
      <c r="A114" s="99" t="s">
        <v>12</v>
      </c>
      <c r="B114" s="29">
        <f t="shared" si="1"/>
        <v>8112.641</v>
      </c>
      <c r="C114" s="160">
        <f>'апрель факт'!C109+'май факт'!C114+'июнь факт'!C114</f>
        <v>0</v>
      </c>
      <c r="D114" s="160">
        <f>'апрель факт'!D109+'май факт'!D114+'июнь факт'!D114</f>
        <v>0</v>
      </c>
      <c r="E114" s="160">
        <f>'апрель факт'!E109+'май факт'!E114+'июнь факт'!E114</f>
        <v>74.683</v>
      </c>
      <c r="F114" s="161">
        <f>'апрель факт'!F109+'май факт'!F114+'июнь факт'!F114</f>
        <v>8037.958</v>
      </c>
      <c r="G114" s="3"/>
      <c r="H114" s="142"/>
      <c r="I114" s="25"/>
      <c r="J114" s="35"/>
      <c r="K114" s="35"/>
      <c r="L114" s="35"/>
      <c r="M114" s="35"/>
      <c r="N114" s="139"/>
    </row>
    <row r="115" spans="1:8" ht="18.75" thickBot="1">
      <c r="A115" s="105"/>
      <c r="B115" s="106"/>
      <c r="C115" s="106"/>
      <c r="D115" s="106"/>
      <c r="E115" s="106"/>
      <c r="F115" s="106"/>
      <c r="G115" s="3"/>
      <c r="H115" s="3"/>
    </row>
    <row r="116" spans="1:8" ht="31.5" customHeight="1" thickBot="1">
      <c r="A116" s="26" t="s">
        <v>50</v>
      </c>
      <c r="B116" s="113">
        <f>C116+D116+E116+F116</f>
        <v>316868.42600000004</v>
      </c>
      <c r="C116" s="118">
        <f>C110+C105+C100+C95+C90+C85+C80+C75+C70+C65+C60+C55+C50+C45+C40+C35+C30+C25+C20+C15+C10+C5</f>
        <v>127429.26000000001</v>
      </c>
      <c r="D116" s="118">
        <f>D110+D105+D100+D95+D90+D85+D80+D75+D70+D65+D60+D55+D50+D45+D40+D35+D30+D25+D20+D15+D10+D5</f>
        <v>4358.526</v>
      </c>
      <c r="E116" s="118">
        <f>E110+E105+E100+E95+E90+E85+E80+E75+E70+E65+E60+E55+E50+E45+E40+E35+E30+E25+E20+E15+E10+E5</f>
        <v>75904.538</v>
      </c>
      <c r="F116" s="118">
        <f>F110+F105+F100+F95+F90+F85+F80+F75+F70+F65+F60+F55+F50+F45+F40+F35+F30+F25+F20+F15+F10+F5</f>
        <v>109176.102</v>
      </c>
      <c r="G116" s="3"/>
      <c r="H116" s="25"/>
    </row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3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6"/>
  <sheetViews>
    <sheetView zoomScale="60" zoomScaleNormal="60" zoomScalePageLayoutView="0" workbookViewId="0" topLeftCell="A1">
      <pane xSplit="1" ySplit="4" topLeftCell="B7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16" sqref="H116"/>
    </sheetView>
  </sheetViews>
  <sheetFormatPr defaultColWidth="9.00390625" defaultRowHeight="12.75"/>
  <cols>
    <col min="1" max="1" width="58.375" style="0" customWidth="1"/>
    <col min="2" max="6" width="25.25390625" style="0" customWidth="1"/>
    <col min="7" max="7" width="11.75390625" style="0" customWidth="1"/>
    <col min="8" max="8" width="27.00390625" style="0" customWidth="1"/>
    <col min="9" max="9" width="19.375" style="0" customWidth="1"/>
  </cols>
  <sheetData>
    <row r="1" spans="1:6" s="36" customFormat="1" ht="47.25" customHeight="1">
      <c r="A1" s="185" t="s">
        <v>29</v>
      </c>
      <c r="B1" s="185"/>
      <c r="C1" s="185"/>
      <c r="D1" s="185"/>
      <c r="E1" s="185"/>
      <c r="F1" s="185"/>
    </row>
    <row r="2" spans="1:6" s="37" customFormat="1" ht="23.25">
      <c r="A2" s="186" t="s">
        <v>62</v>
      </c>
      <c r="B2" s="186"/>
      <c r="C2" s="186"/>
      <c r="D2" s="188"/>
      <c r="E2" s="188"/>
      <c r="F2" s="188"/>
    </row>
    <row r="3" s="3" customFormat="1" ht="18.75" thickBot="1">
      <c r="F3" s="56" t="s">
        <v>28</v>
      </c>
    </row>
    <row r="4" spans="1:6" s="1" customFormat="1" ht="29.25" customHeight="1" thickBot="1">
      <c r="A4" s="38" t="s">
        <v>45</v>
      </c>
      <c r="B4" s="53"/>
      <c r="C4" s="42" t="s">
        <v>0</v>
      </c>
      <c r="D4" s="42" t="s">
        <v>1</v>
      </c>
      <c r="E4" s="42" t="s">
        <v>2</v>
      </c>
      <c r="F4" s="43" t="s">
        <v>3</v>
      </c>
    </row>
    <row r="5" spans="1:14" s="2" customFormat="1" ht="45.75" customHeight="1">
      <c r="A5" s="109" t="s">
        <v>35</v>
      </c>
      <c r="B5" s="44">
        <f>C5+D5+E5+F5</f>
        <v>480233.1639999999</v>
      </c>
      <c r="C5" s="74">
        <f>'январь факт'!C5+'февраль факт'!C5+'март факт'!C5+'апрель факт'!C5+'май факт'!C5+'июнь факт'!C5</f>
        <v>196701.095</v>
      </c>
      <c r="D5" s="74">
        <f>'январь факт'!D5+'февраль факт'!D5+'март факт'!D5+'апрель факт'!D5+'май факт'!D5+'июнь факт'!D5</f>
        <v>7878.515000000001</v>
      </c>
      <c r="E5" s="74">
        <f>'январь факт'!E5+'февраль факт'!E5+'март факт'!E5+'апрель факт'!E5+'май факт'!E5+'июнь факт'!E5</f>
        <v>119382.52500000001</v>
      </c>
      <c r="F5" s="75">
        <f>'январь факт'!F5+'февраль факт'!F5+'март факт'!F5+'апрель факт'!F5+'май факт'!F5+'июнь факт'!F5</f>
        <v>156271.0289999999</v>
      </c>
      <c r="H5" s="142"/>
      <c r="I5" s="25"/>
      <c r="J5" s="135"/>
      <c r="K5" s="135"/>
      <c r="L5" s="135"/>
      <c r="M5" s="135"/>
      <c r="N5" s="140"/>
    </row>
    <row r="6" spans="1:14" s="2" customFormat="1" ht="24.75" customHeight="1">
      <c r="A6" s="97" t="s">
        <v>47</v>
      </c>
      <c r="B6" s="5">
        <f aca="true" t="shared" si="0" ref="B6:B69">C6+D6+E6+F6</f>
        <v>380551.9879999999</v>
      </c>
      <c r="C6" s="17">
        <f>'январь факт'!C6+'февраль факт'!C6+'март факт'!C6+'апрель факт'!C6+'май факт'!C6+'июнь факт'!C6</f>
        <v>196438.17599999998</v>
      </c>
      <c r="D6" s="17">
        <f>'январь факт'!D6+'февраль факт'!D6+'март факт'!D6+'апрель факт'!D6+'май факт'!D6+'июнь факт'!D6</f>
        <v>7869.825</v>
      </c>
      <c r="E6" s="17">
        <f>'январь факт'!E6+'февраль факт'!E6+'март факт'!E6+'апрель факт'!E6+'май факт'!E6+'июнь факт'!E6</f>
        <v>113766.37</v>
      </c>
      <c r="F6" s="18">
        <f>'январь факт'!F6+'февраль факт'!F6+'март факт'!F6+'апрель факт'!F6+'май факт'!F6+'июнь факт'!F6</f>
        <v>62477.6169999999</v>
      </c>
      <c r="H6" s="141"/>
      <c r="I6" s="25"/>
      <c r="J6" s="35"/>
      <c r="K6" s="25"/>
      <c r="L6" s="25"/>
      <c r="M6" s="25"/>
      <c r="N6" s="140"/>
    </row>
    <row r="7" spans="1:14" s="2" customFormat="1" ht="19.5" customHeight="1">
      <c r="A7" s="98" t="s">
        <v>10</v>
      </c>
      <c r="B7" s="5">
        <f t="shared" si="0"/>
        <v>99681.176</v>
      </c>
      <c r="C7" s="17">
        <f>'январь факт'!C7+'февраль факт'!C7+'март факт'!C7+'апрель факт'!C7+'май факт'!C7+'июнь факт'!C7</f>
        <v>262.91900000000004</v>
      </c>
      <c r="D7" s="17">
        <f>'январь факт'!D7+'февраль факт'!D7+'март факт'!D7+'апрель факт'!D7+'май факт'!D7+'июнь факт'!D7</f>
        <v>8.69</v>
      </c>
      <c r="E7" s="17">
        <f>'январь факт'!E7+'февраль факт'!E7+'март факт'!E7+'апрель факт'!E7+'май факт'!E7+'июнь факт'!E7</f>
        <v>5616.155000000001</v>
      </c>
      <c r="F7" s="18">
        <f>'январь факт'!F7+'февраль факт'!F7+'март факт'!F7+'апрель факт'!F7+'май факт'!F7+'июнь факт'!F7</f>
        <v>93793.41200000001</v>
      </c>
      <c r="H7" s="142"/>
      <c r="I7" s="25"/>
      <c r="J7" s="25"/>
      <c r="K7" s="25"/>
      <c r="L7" s="35"/>
      <c r="M7" s="35"/>
      <c r="N7" s="140"/>
    </row>
    <row r="8" spans="1:14" s="2" customFormat="1" ht="17.25" customHeight="1">
      <c r="A8" s="98" t="s">
        <v>11</v>
      </c>
      <c r="B8" s="5">
        <f t="shared" si="0"/>
        <v>28640.873999999996</v>
      </c>
      <c r="C8" s="17">
        <f>'январь факт'!C8+'февраль факт'!C8+'март факт'!C8+'апрель факт'!C8+'май факт'!C8+'июнь факт'!C8</f>
        <v>132.702</v>
      </c>
      <c r="D8" s="17">
        <f>'январь факт'!D8+'февраль факт'!D8+'март факт'!D8+'апрель факт'!D8+'май факт'!D8+'июнь факт'!D8</f>
        <v>0</v>
      </c>
      <c r="E8" s="17">
        <f>'январь факт'!E8+'февраль факт'!E8+'март факт'!E8+'апрель факт'!E8+'май факт'!E8+'июнь факт'!E8</f>
        <v>1253.9869999999999</v>
      </c>
      <c r="F8" s="18">
        <f>'январь факт'!F8+'февраль факт'!F8+'март факт'!F8+'апрель факт'!F8+'май факт'!F8+'июнь факт'!F8</f>
        <v>27254.184999999998</v>
      </c>
      <c r="H8" s="142"/>
      <c r="I8" s="25"/>
      <c r="J8" s="35"/>
      <c r="K8" s="25"/>
      <c r="L8" s="35"/>
      <c r="M8" s="35"/>
      <c r="N8" s="140"/>
    </row>
    <row r="9" spans="1:14" s="2" customFormat="1" ht="17.25" customHeight="1">
      <c r="A9" s="98" t="s">
        <v>12</v>
      </c>
      <c r="B9" s="5">
        <f t="shared" si="0"/>
        <v>71040.30200000001</v>
      </c>
      <c r="C9" s="17">
        <f>'январь факт'!C9+'февраль факт'!C9+'март факт'!C9+'апрель факт'!C9+'май факт'!C9+'июнь факт'!C9</f>
        <v>130.217</v>
      </c>
      <c r="D9" s="17">
        <f>'январь факт'!D9+'февраль факт'!D9+'март факт'!D9+'апрель факт'!D9+'май факт'!D9+'июнь факт'!D9</f>
        <v>8.69</v>
      </c>
      <c r="E9" s="17">
        <f>'январь факт'!E9+'февраль факт'!E9+'март факт'!E9+'апрель факт'!E9+'май факт'!E9+'июнь факт'!E9</f>
        <v>4362.168</v>
      </c>
      <c r="F9" s="18">
        <f>'январь факт'!F9+'февраль факт'!F9+'март факт'!F9+'апрель факт'!F9+'май факт'!F9+'июнь факт'!F9</f>
        <v>66539.22700000001</v>
      </c>
      <c r="H9" s="142"/>
      <c r="I9" s="25"/>
      <c r="J9" s="135"/>
      <c r="K9" s="135"/>
      <c r="L9" s="135"/>
      <c r="M9" s="135"/>
      <c r="N9" s="140"/>
    </row>
    <row r="10" spans="1:14" s="2" customFormat="1" ht="35.25" customHeight="1">
      <c r="A10" s="110" t="s">
        <v>36</v>
      </c>
      <c r="B10" s="5">
        <f t="shared" si="0"/>
        <v>36232.318</v>
      </c>
      <c r="C10" s="17">
        <f>'январь факт'!C10+'февраль факт'!C10+'март факт'!C10+'апрель факт'!C10+'май факт'!C10+'июнь факт'!C10</f>
        <v>5560.210000000001</v>
      </c>
      <c r="D10" s="17">
        <f>'январь факт'!D10+'февраль факт'!D10+'март факт'!D10+'апрель факт'!D10+'май факт'!D10+'июнь факт'!D10</f>
        <v>0</v>
      </c>
      <c r="E10" s="17">
        <f>'январь факт'!E10+'февраль факт'!E10+'март факт'!E10+'апрель факт'!E10+'май факт'!E10+'июнь факт'!E10</f>
        <v>12613.194</v>
      </c>
      <c r="F10" s="18">
        <f>'январь факт'!F10+'февраль факт'!F10+'март факт'!F10+'апрель факт'!F10+'май факт'!F10+'июнь факт'!F10</f>
        <v>18058.913999999997</v>
      </c>
      <c r="H10" s="142"/>
      <c r="I10" s="25"/>
      <c r="J10" s="135"/>
      <c r="K10" s="135"/>
      <c r="L10" s="135"/>
      <c r="M10" s="135"/>
      <c r="N10" s="140"/>
    </row>
    <row r="11" spans="1:14" s="2" customFormat="1" ht="19.5" customHeight="1">
      <c r="A11" s="98" t="s">
        <v>13</v>
      </c>
      <c r="B11" s="5">
        <f t="shared" si="0"/>
        <v>22746.233</v>
      </c>
      <c r="C11" s="17">
        <f>'январь факт'!C11+'февраль факт'!C11+'март факт'!C11+'апрель факт'!C11+'май факт'!C11+'июнь факт'!C11</f>
        <v>4937.966</v>
      </c>
      <c r="D11" s="17">
        <f>'январь факт'!D11+'февраль факт'!D11+'март факт'!D11+'апрель факт'!D11+'май факт'!D11+'июнь факт'!D11</f>
        <v>0</v>
      </c>
      <c r="E11" s="17">
        <f>'январь факт'!E11+'февраль факт'!E11+'март факт'!E11+'апрель факт'!E11+'май факт'!E11+'июнь факт'!E11</f>
        <v>10569.524000000001</v>
      </c>
      <c r="F11" s="18">
        <f>'январь факт'!F11+'февраль факт'!F11+'март факт'!F11+'апрель факт'!F11+'май факт'!F11+'июнь факт'!F11</f>
        <v>7238.7429999999995</v>
      </c>
      <c r="H11" s="141"/>
      <c r="I11" s="25"/>
      <c r="J11" s="35"/>
      <c r="K11" s="35"/>
      <c r="L11" s="35"/>
      <c r="M11" s="35"/>
      <c r="N11" s="140"/>
    </row>
    <row r="12" spans="1:14" s="2" customFormat="1" ht="18" customHeight="1">
      <c r="A12" s="98" t="s">
        <v>10</v>
      </c>
      <c r="B12" s="5">
        <f t="shared" si="0"/>
        <v>13486.085000000003</v>
      </c>
      <c r="C12" s="17">
        <f>'январь факт'!C12+'февраль факт'!C12+'март факт'!C12+'апрель факт'!C12+'май факт'!C12+'июнь факт'!C12</f>
        <v>622.244</v>
      </c>
      <c r="D12" s="17">
        <f>'январь факт'!D12+'февраль факт'!D12+'март факт'!D12+'апрель факт'!D12+'май факт'!D12+'июнь факт'!D12</f>
        <v>0</v>
      </c>
      <c r="E12" s="17">
        <f>'январь факт'!E12+'февраль факт'!E12+'март факт'!E12+'апрель факт'!E12+'май факт'!E12+'июнь факт'!E12</f>
        <v>2043.6699999999998</v>
      </c>
      <c r="F12" s="18">
        <f>'январь факт'!F12+'февраль факт'!F12+'март факт'!F12+'апрель факт'!F12+'май факт'!F12+'июнь факт'!F12</f>
        <v>10820.171000000002</v>
      </c>
      <c r="H12" s="142"/>
      <c r="I12" s="25"/>
      <c r="J12" s="25"/>
      <c r="K12" s="25"/>
      <c r="L12" s="25"/>
      <c r="M12" s="25"/>
      <c r="N12" s="140"/>
    </row>
    <row r="13" spans="1:14" s="2" customFormat="1" ht="19.5" customHeight="1">
      <c r="A13" s="98" t="s">
        <v>11</v>
      </c>
      <c r="B13" s="5">
        <f t="shared" si="0"/>
        <v>7725.39</v>
      </c>
      <c r="C13" s="17">
        <f>'январь факт'!C13+'февраль факт'!C13+'март факт'!C13+'апрель факт'!C13+'май факт'!C13+'июнь факт'!C13</f>
        <v>0</v>
      </c>
      <c r="D13" s="17">
        <f>'январь факт'!D13+'февраль факт'!D13+'март факт'!D13+'апрель факт'!D13+'май факт'!D13+'июнь факт'!D13</f>
        <v>0</v>
      </c>
      <c r="E13" s="17">
        <f>'январь факт'!E13+'февраль факт'!E13+'март факт'!E13+'апрель факт'!E13+'май факт'!E13+'июнь факт'!E13</f>
        <v>356.45000000000005</v>
      </c>
      <c r="F13" s="18">
        <f>'январь факт'!F13+'февраль факт'!F13+'март факт'!F13+'апрель факт'!F13+'май факт'!F13+'июнь факт'!F13</f>
        <v>7368.9400000000005</v>
      </c>
      <c r="H13" s="142"/>
      <c r="I13" s="25"/>
      <c r="J13" s="25"/>
      <c r="K13" s="25"/>
      <c r="L13" s="35"/>
      <c r="M13" s="35"/>
      <c r="N13" s="140"/>
    </row>
    <row r="14" spans="1:14" s="2" customFormat="1" ht="19.5" customHeight="1">
      <c r="A14" s="98" t="s">
        <v>12</v>
      </c>
      <c r="B14" s="5">
        <f t="shared" si="0"/>
        <v>5760.695</v>
      </c>
      <c r="C14" s="17">
        <f>'январь факт'!C14+'февраль факт'!C14+'март факт'!C14+'апрель факт'!C14+'май факт'!C14+'июнь факт'!C14</f>
        <v>622.244</v>
      </c>
      <c r="D14" s="17">
        <f>'январь факт'!D14+'февраль факт'!D14+'март факт'!D14+'апрель факт'!D14+'май факт'!D14+'июнь факт'!D14</f>
        <v>0</v>
      </c>
      <c r="E14" s="17">
        <f>'январь факт'!E14+'февраль факт'!E14+'март факт'!E14+'апрель факт'!E14+'май факт'!E14+'июнь факт'!E14</f>
        <v>1687.2199999999998</v>
      </c>
      <c r="F14" s="18">
        <f>'январь факт'!F14+'февраль факт'!F14+'март факт'!F14+'апрель факт'!F14+'май факт'!F14+'июнь факт'!F14</f>
        <v>3451.231</v>
      </c>
      <c r="H14" s="142"/>
      <c r="I14" s="25"/>
      <c r="J14" s="135"/>
      <c r="K14" s="135"/>
      <c r="L14" s="135"/>
      <c r="M14" s="135"/>
      <c r="N14" s="140"/>
    </row>
    <row r="15" spans="1:14" s="2" customFormat="1" ht="36" customHeight="1">
      <c r="A15" s="110" t="s">
        <v>6</v>
      </c>
      <c r="B15" s="5">
        <f t="shared" si="0"/>
        <v>7081.206999999999</v>
      </c>
      <c r="C15" s="17">
        <f>'январь факт'!C15+'февраль факт'!C15+'март факт'!C15+'апрель факт'!C15+'май факт'!C15+'июнь факт'!C15</f>
        <v>7081.206999999999</v>
      </c>
      <c r="D15" s="17">
        <f>'январь факт'!D15+'февраль факт'!D15+'март факт'!D15+'апрель факт'!D15+'май факт'!D15+'июнь факт'!D15</f>
        <v>0</v>
      </c>
      <c r="E15" s="17">
        <f>'январь факт'!E15+'февраль факт'!E15+'март факт'!E15+'апрель факт'!E15+'май факт'!E15+'июнь факт'!E15</f>
        <v>0</v>
      </c>
      <c r="F15" s="18">
        <f>'январь факт'!F15+'февраль факт'!F15+'март факт'!F15+'апрель факт'!F15+'май факт'!F15+'июнь факт'!F15</f>
        <v>0</v>
      </c>
      <c r="H15" s="142"/>
      <c r="I15" s="25"/>
      <c r="J15" s="135"/>
      <c r="K15" s="135"/>
      <c r="L15" s="135"/>
      <c r="M15" s="135"/>
      <c r="N15" s="140"/>
    </row>
    <row r="16" spans="1:14" s="2" customFormat="1" ht="21.75" customHeight="1">
      <c r="A16" s="98" t="s">
        <v>13</v>
      </c>
      <c r="B16" s="5">
        <f t="shared" si="0"/>
        <v>7077.448</v>
      </c>
      <c r="C16" s="17">
        <f>'январь факт'!C16+'февраль факт'!C16+'март факт'!C16+'апрель факт'!C16+'май факт'!C16+'июнь факт'!C16</f>
        <v>7077.448</v>
      </c>
      <c r="D16" s="17">
        <f>'январь факт'!D16+'февраль факт'!D16+'март факт'!D16+'апрель факт'!D16+'май факт'!D16+'июнь факт'!D16</f>
        <v>0</v>
      </c>
      <c r="E16" s="17">
        <f>'январь факт'!E16+'февраль факт'!E16+'март факт'!E16+'апрель факт'!E16+'май факт'!E16+'июнь факт'!E16</f>
        <v>0</v>
      </c>
      <c r="F16" s="18">
        <f>'январь факт'!F16+'февраль факт'!F16+'март факт'!F16+'апрель факт'!F16+'май факт'!F16+'июнь факт'!F16</f>
        <v>0</v>
      </c>
      <c r="H16" s="141"/>
      <c r="I16" s="25"/>
      <c r="J16" s="35"/>
      <c r="K16" s="35"/>
      <c r="L16" s="35"/>
      <c r="M16" s="35"/>
      <c r="N16" s="140"/>
    </row>
    <row r="17" spans="1:14" s="2" customFormat="1" ht="21" customHeight="1">
      <c r="A17" s="98" t="s">
        <v>10</v>
      </c>
      <c r="B17" s="5">
        <f t="shared" si="0"/>
        <v>3.7589999999999995</v>
      </c>
      <c r="C17" s="17">
        <f>'январь факт'!C17+'февраль факт'!C17+'март факт'!C17+'апрель факт'!C17+'май факт'!C17+'июнь факт'!C17</f>
        <v>3.7589999999999995</v>
      </c>
      <c r="D17" s="17">
        <f>'январь факт'!D17+'февраль факт'!D17+'март факт'!D17+'апрель факт'!D17+'май факт'!D17+'июнь факт'!D17</f>
        <v>0</v>
      </c>
      <c r="E17" s="17">
        <f>'январь факт'!E17+'февраль факт'!E17+'март факт'!E17+'апрель факт'!E17+'май факт'!E17+'июнь факт'!E17</f>
        <v>0</v>
      </c>
      <c r="F17" s="18">
        <f>'январь факт'!F17+'февраль факт'!F17+'март факт'!F17+'апрель факт'!F17+'май факт'!F17+'июнь факт'!F17</f>
        <v>0</v>
      </c>
      <c r="H17" s="143"/>
      <c r="I17" s="25"/>
      <c r="J17" s="25"/>
      <c r="K17" s="25"/>
      <c r="L17" s="35"/>
      <c r="M17" s="35"/>
      <c r="N17" s="140"/>
    </row>
    <row r="18" spans="1:14" s="2" customFormat="1" ht="21.75" customHeight="1">
      <c r="A18" s="98" t="s">
        <v>11</v>
      </c>
      <c r="B18" s="5">
        <f t="shared" si="0"/>
        <v>3.7589999999999995</v>
      </c>
      <c r="C18" s="17">
        <f>'январь факт'!C18+'февраль факт'!C18+'март факт'!C18+'апрель факт'!C18+'май факт'!C18+'июнь факт'!C18</f>
        <v>3.7589999999999995</v>
      </c>
      <c r="D18" s="17">
        <f>'январь факт'!D18+'февраль факт'!D18+'март факт'!D18+'апрель факт'!D18+'май факт'!D18+'июнь факт'!D18</f>
        <v>0</v>
      </c>
      <c r="E18" s="17">
        <f>'январь факт'!E18+'февраль факт'!E18+'март факт'!E18+'апрель факт'!E18+'май факт'!E18+'июнь факт'!E18</f>
        <v>0</v>
      </c>
      <c r="F18" s="18">
        <f>'январь факт'!F18+'февраль факт'!F18+'март факт'!F18+'апрель факт'!F18+'май факт'!F18+'июнь факт'!F18</f>
        <v>0</v>
      </c>
      <c r="H18" s="144"/>
      <c r="I18" s="25"/>
      <c r="J18" s="25"/>
      <c r="K18" s="25"/>
      <c r="L18" s="25"/>
      <c r="M18" s="25"/>
      <c r="N18" s="140"/>
    </row>
    <row r="19" spans="1:14" s="2" customFormat="1" ht="21" customHeight="1">
      <c r="A19" s="98" t="s">
        <v>12</v>
      </c>
      <c r="B19" s="5">
        <f t="shared" si="0"/>
        <v>0</v>
      </c>
      <c r="C19" s="17">
        <f>'январь факт'!C19+'февраль факт'!C19+'март факт'!C19+'апрель факт'!C19+'май факт'!C19+'июнь факт'!C19</f>
        <v>0</v>
      </c>
      <c r="D19" s="17">
        <f>'январь факт'!D19+'февраль факт'!D19+'март факт'!D19+'апрель факт'!D19+'май факт'!D19+'июнь факт'!D19</f>
        <v>0</v>
      </c>
      <c r="E19" s="17">
        <f>'январь факт'!E19+'февраль факт'!E19+'март факт'!E19+'апрель факт'!E19+'май факт'!E19+'июнь факт'!E19</f>
        <v>0</v>
      </c>
      <c r="F19" s="18">
        <f>'январь факт'!F19+'февраль факт'!F19+'март факт'!F19+'апрель факт'!F19+'май факт'!F19+'июнь факт'!F19</f>
        <v>0</v>
      </c>
      <c r="H19" s="143"/>
      <c r="I19" s="123"/>
      <c r="J19" s="136"/>
      <c r="K19" s="123"/>
      <c r="L19" s="123"/>
      <c r="M19" s="145"/>
      <c r="N19" s="140"/>
    </row>
    <row r="20" spans="1:14" s="2" customFormat="1" ht="41.25" customHeight="1">
      <c r="A20" s="110" t="s">
        <v>37</v>
      </c>
      <c r="B20" s="5">
        <f t="shared" si="0"/>
        <v>10983.570000000002</v>
      </c>
      <c r="C20" s="17">
        <f>'январь факт'!C20+'февраль факт'!C20+'март факт'!C20+'апрель факт'!C20+'май факт'!C20+'июнь факт'!C20</f>
        <v>6766.985</v>
      </c>
      <c r="D20" s="17">
        <f>'январь факт'!D20+'февраль факт'!D20+'март факт'!D20+'апрель факт'!D20+'май факт'!D20+'июнь факт'!D20</f>
        <v>3404.2490000000003</v>
      </c>
      <c r="E20" s="17">
        <f>'январь факт'!E20+'февраль факт'!E20+'март факт'!E20+'апрель факт'!E20+'май факт'!E20+'июнь факт'!E20</f>
        <v>358.78999999999996</v>
      </c>
      <c r="F20" s="18">
        <f>'январь факт'!F20+'февраль факт'!F20+'март факт'!F20+'апрель факт'!F20+'май факт'!F20+'июнь факт'!F20</f>
        <v>453.546</v>
      </c>
      <c r="H20" s="142"/>
      <c r="I20" s="25"/>
      <c r="J20" s="25"/>
      <c r="K20" s="25"/>
      <c r="L20" s="35"/>
      <c r="M20" s="35"/>
      <c r="N20" s="140"/>
    </row>
    <row r="21" spans="1:14" s="2" customFormat="1" ht="19.5" customHeight="1">
      <c r="A21" s="98" t="s">
        <v>13</v>
      </c>
      <c r="B21" s="5">
        <f t="shared" si="0"/>
        <v>10875.687000000002</v>
      </c>
      <c r="C21" s="17">
        <f>'январь факт'!C21+'февраль факт'!C21+'март факт'!C21+'апрель факт'!C21+'май факт'!C21+'июнь факт'!C21</f>
        <v>6766.985</v>
      </c>
      <c r="D21" s="17">
        <f>'январь факт'!D21+'февраль факт'!D21+'март факт'!D21+'апрель факт'!D21+'май факт'!D21+'июнь факт'!D21</f>
        <v>3404.2490000000003</v>
      </c>
      <c r="E21" s="17">
        <f>'январь факт'!E21+'февраль факт'!E21+'март факт'!E21+'апрель факт'!E21+'май факт'!E21+'июнь факт'!E21</f>
        <v>358.78999999999996</v>
      </c>
      <c r="F21" s="18">
        <f>'январь факт'!F21+'февраль факт'!F21+'март факт'!F21+'апрель факт'!F21+'май факт'!F21+'июнь факт'!F21</f>
        <v>345.663</v>
      </c>
      <c r="H21" s="142"/>
      <c r="I21" s="25"/>
      <c r="J21" s="135"/>
      <c r="K21" s="135"/>
      <c r="L21" s="135"/>
      <c r="M21" s="135"/>
      <c r="N21" s="140"/>
    </row>
    <row r="22" spans="1:14" s="2" customFormat="1" ht="24.75" customHeight="1">
      <c r="A22" s="98" t="s">
        <v>10</v>
      </c>
      <c r="B22" s="5">
        <f t="shared" si="0"/>
        <v>107.88300000000001</v>
      </c>
      <c r="C22" s="17">
        <f>'январь факт'!C22+'февраль факт'!C22+'март факт'!C22+'апрель факт'!C22+'май факт'!C22+'июнь факт'!C22</f>
        <v>0</v>
      </c>
      <c r="D22" s="17">
        <f>'январь факт'!D22+'февраль факт'!D22+'март факт'!D22+'апрель факт'!D22+'май факт'!D22+'июнь факт'!D22</f>
        <v>0</v>
      </c>
      <c r="E22" s="17">
        <f>'январь факт'!E22+'февраль факт'!E22+'март факт'!E22+'апрель факт'!E22+'май факт'!E22+'июнь факт'!E22</f>
        <v>0</v>
      </c>
      <c r="F22" s="18">
        <f>'январь факт'!F22+'февраль факт'!F22+'март факт'!F22+'апрель факт'!F22+'май факт'!F22+'июнь факт'!F22</f>
        <v>107.88300000000001</v>
      </c>
      <c r="H22" s="142"/>
      <c r="I22" s="25"/>
      <c r="J22" s="135"/>
      <c r="K22" s="135"/>
      <c r="L22" s="135"/>
      <c r="M22" s="135"/>
      <c r="N22" s="140"/>
    </row>
    <row r="23" spans="1:14" s="2" customFormat="1" ht="25.5" customHeight="1">
      <c r="A23" s="98" t="s">
        <v>11</v>
      </c>
      <c r="B23" s="5">
        <f t="shared" si="0"/>
        <v>107.88300000000001</v>
      </c>
      <c r="C23" s="17">
        <f>'январь факт'!C23+'февраль факт'!C23+'март факт'!C23+'апрель факт'!C23+'май факт'!C23+'июнь факт'!C23</f>
        <v>0</v>
      </c>
      <c r="D23" s="17">
        <f>'январь факт'!D23+'февраль факт'!D23+'март факт'!D23+'апрель факт'!D23+'май факт'!D23+'июнь факт'!D23</f>
        <v>0</v>
      </c>
      <c r="E23" s="17">
        <f>'январь факт'!E23+'февраль факт'!E23+'март факт'!E23+'апрель факт'!E23+'май факт'!E23+'июнь факт'!E23</f>
        <v>0</v>
      </c>
      <c r="F23" s="18">
        <f>'январь факт'!F23+'февраль факт'!F23+'март факт'!F23+'апрель факт'!F23+'май факт'!F23+'июнь факт'!F23</f>
        <v>107.88300000000001</v>
      </c>
      <c r="H23" s="141"/>
      <c r="I23" s="25"/>
      <c r="J23" s="35"/>
      <c r="K23" s="35"/>
      <c r="L23" s="35"/>
      <c r="M23" s="35"/>
      <c r="N23" s="140"/>
    </row>
    <row r="24" spans="1:14" s="2" customFormat="1" ht="20.25" customHeight="1">
      <c r="A24" s="98" t="s">
        <v>12</v>
      </c>
      <c r="B24" s="5">
        <f t="shared" si="0"/>
        <v>0</v>
      </c>
      <c r="C24" s="17">
        <f>'январь факт'!C24+'февраль факт'!C24+'март факт'!C24+'апрель факт'!C24+'май факт'!C24+'июнь факт'!C24</f>
        <v>0</v>
      </c>
      <c r="D24" s="17">
        <f>'январь факт'!D24+'февраль факт'!D24+'март факт'!D24+'апрель факт'!D24+'май факт'!D24+'июнь факт'!D24</f>
        <v>0</v>
      </c>
      <c r="E24" s="17">
        <f>'январь факт'!E24+'февраль факт'!E24+'март факт'!E24+'апрель факт'!E24+'май факт'!E24+'июнь факт'!E24</f>
        <v>0</v>
      </c>
      <c r="F24" s="18">
        <f>'январь факт'!F24+'февраль факт'!F24+'март факт'!F24+'апрель факт'!F24+'май факт'!F24+'июнь факт'!F24</f>
        <v>0</v>
      </c>
      <c r="H24" s="142"/>
      <c r="I24" s="25"/>
      <c r="J24" s="25"/>
      <c r="K24" s="25"/>
      <c r="L24" s="35"/>
      <c r="M24" s="35"/>
      <c r="N24" s="140"/>
    </row>
    <row r="25" spans="1:14" s="2" customFormat="1" ht="50.25" customHeight="1">
      <c r="A25" s="110" t="s">
        <v>7</v>
      </c>
      <c r="B25" s="5">
        <f t="shared" si="0"/>
        <v>74203.834</v>
      </c>
      <c r="C25" s="17">
        <f>'январь факт'!C25+'февраль факт'!C25+'март факт'!C25+'апрель факт'!C25+'май факт'!C25+'июнь факт'!C25</f>
        <v>40209.615000000005</v>
      </c>
      <c r="D25" s="17">
        <f>'январь факт'!D25+'февраль факт'!D25+'март факт'!D25+'апрель факт'!D25+'май факт'!D25+'июнь факт'!D25</f>
        <v>0</v>
      </c>
      <c r="E25" s="17">
        <f>'январь факт'!E25+'февраль факт'!E25+'март факт'!E25+'апрель факт'!E25+'май факт'!E25+'июнь факт'!E25</f>
        <v>11937.888</v>
      </c>
      <c r="F25" s="18">
        <f>'январь факт'!F25+'февраль факт'!F25+'март факт'!F25+'апрель факт'!F25+'май факт'!F25+'июнь факт'!F25</f>
        <v>22056.331</v>
      </c>
      <c r="H25" s="142"/>
      <c r="I25" s="25"/>
      <c r="J25" s="25"/>
      <c r="K25" s="25"/>
      <c r="L25" s="35"/>
      <c r="M25" s="35"/>
      <c r="N25" s="140"/>
    </row>
    <row r="26" spans="1:14" s="2" customFormat="1" ht="32.25" customHeight="1">
      <c r="A26" s="97" t="s">
        <v>48</v>
      </c>
      <c r="B26" s="5">
        <f t="shared" si="0"/>
        <v>59176.004</v>
      </c>
      <c r="C26" s="17">
        <f>'январь факт'!C26+'февраль факт'!C26+'март факт'!C26+'апрель факт'!C26+'май факт'!C26+'июнь факт'!C26</f>
        <v>40209.615000000005</v>
      </c>
      <c r="D26" s="17">
        <f>'январь факт'!D26+'февраль факт'!D26+'март факт'!D26+'апрель факт'!D26+'май факт'!D26+'июнь факт'!D26</f>
        <v>0</v>
      </c>
      <c r="E26" s="17">
        <f>'январь факт'!E26+'февраль факт'!E26+'март факт'!E26+'апрель факт'!E26+'май факт'!E26+'июнь факт'!E26</f>
        <v>11554.081999999999</v>
      </c>
      <c r="F26" s="18">
        <f>'январь факт'!F26+'февраль факт'!F26+'март факт'!F26+'апрель факт'!F26+'май факт'!F26+'июнь факт'!F26</f>
        <v>7412.306999999999</v>
      </c>
      <c r="H26" s="142"/>
      <c r="I26" s="25"/>
      <c r="J26" s="135"/>
      <c r="K26" s="135"/>
      <c r="L26" s="135"/>
      <c r="M26" s="135"/>
      <c r="N26" s="140"/>
    </row>
    <row r="27" spans="1:14" s="2" customFormat="1" ht="18" customHeight="1">
      <c r="A27" s="98" t="s">
        <v>10</v>
      </c>
      <c r="B27" s="5">
        <f t="shared" si="0"/>
        <v>15027.830000000002</v>
      </c>
      <c r="C27" s="17">
        <f>'январь факт'!C27+'февраль факт'!C27+'март факт'!C27+'апрель факт'!C27+'май факт'!C27+'июнь факт'!C27</f>
        <v>0</v>
      </c>
      <c r="D27" s="17">
        <f>'январь факт'!D27+'февраль факт'!D27+'март факт'!D27+'апрель факт'!D27+'май факт'!D27+'июнь факт'!D27</f>
        <v>0</v>
      </c>
      <c r="E27" s="17">
        <f>'январь факт'!E27+'февраль факт'!E27+'март факт'!E27+'апрель факт'!E27+'май факт'!E27+'июнь факт'!E27</f>
        <v>383.8059999999999</v>
      </c>
      <c r="F27" s="18">
        <f>'январь факт'!F27+'февраль факт'!F27+'март факт'!F27+'апрель факт'!F27+'май факт'!F27+'июнь факт'!F27</f>
        <v>14644.024000000001</v>
      </c>
      <c r="H27" s="142"/>
      <c r="I27" s="25"/>
      <c r="J27" s="135"/>
      <c r="K27" s="135"/>
      <c r="L27" s="135"/>
      <c r="M27" s="135"/>
      <c r="N27" s="140"/>
    </row>
    <row r="28" spans="1:14" s="2" customFormat="1" ht="36.75" customHeight="1">
      <c r="A28" s="98" t="s">
        <v>11</v>
      </c>
      <c r="B28" s="5">
        <f t="shared" si="0"/>
        <v>14831.787</v>
      </c>
      <c r="C28" s="17">
        <f>'январь факт'!C28+'февраль факт'!C28+'март факт'!C28+'апрель факт'!C28+'май факт'!C28+'июнь факт'!C28</f>
        <v>0</v>
      </c>
      <c r="D28" s="17">
        <f>'январь факт'!D28+'февраль факт'!D28+'март факт'!D28+'апрель факт'!D28+'май факт'!D28+'июнь факт'!D28</f>
        <v>0</v>
      </c>
      <c r="E28" s="17">
        <f>'январь факт'!E28+'февраль факт'!E28+'март факт'!E28+'апрель факт'!E28+'май факт'!E28+'июнь факт'!E28</f>
        <v>383.8059999999999</v>
      </c>
      <c r="F28" s="18">
        <f>'январь факт'!F28+'февраль факт'!F28+'март факт'!F28+'апрель факт'!F28+'май факт'!F28+'июнь факт'!F28</f>
        <v>14447.981</v>
      </c>
      <c r="H28" s="141"/>
      <c r="I28" s="25"/>
      <c r="J28" s="35"/>
      <c r="K28" s="146"/>
      <c r="L28" s="35"/>
      <c r="M28" s="35"/>
      <c r="N28" s="140"/>
    </row>
    <row r="29" spans="1:14" s="2" customFormat="1" ht="23.25" customHeight="1">
      <c r="A29" s="98" t="s">
        <v>12</v>
      </c>
      <c r="B29" s="5">
        <f t="shared" si="0"/>
        <v>196.04299999999998</v>
      </c>
      <c r="C29" s="17">
        <f>'январь факт'!C29+'февраль факт'!C29+'март факт'!C29+'апрель факт'!C29+'май факт'!C29+'июнь факт'!C29</f>
        <v>0</v>
      </c>
      <c r="D29" s="17">
        <f>'январь факт'!D29+'февраль факт'!D29+'март факт'!D29+'апрель факт'!D29+'май факт'!D29+'июнь факт'!D29</f>
        <v>0</v>
      </c>
      <c r="E29" s="17">
        <f>'январь факт'!E29+'февраль факт'!E29+'март факт'!E29+'апрель факт'!E29+'май факт'!E29+'июнь факт'!E29</f>
        <v>0</v>
      </c>
      <c r="F29" s="18">
        <f>'январь факт'!F29+'февраль факт'!F29+'март факт'!F29+'апрель факт'!F29+'май факт'!F29+'июнь факт'!F29</f>
        <v>196.04299999999998</v>
      </c>
      <c r="H29" s="142"/>
      <c r="I29" s="25"/>
      <c r="J29" s="25"/>
      <c r="K29" s="25"/>
      <c r="L29" s="25"/>
      <c r="M29" s="25"/>
      <c r="N29" s="140"/>
    </row>
    <row r="30" spans="1:14" s="2" customFormat="1" ht="23.25" customHeight="1">
      <c r="A30" s="110" t="s">
        <v>38</v>
      </c>
      <c r="B30" s="5">
        <f t="shared" si="0"/>
        <v>666.574</v>
      </c>
      <c r="C30" s="17">
        <f>'январь факт'!C30+'февраль факт'!C30+'март факт'!C30+'апрель факт'!C30+'май факт'!C30+'июнь факт'!C30</f>
        <v>0</v>
      </c>
      <c r="D30" s="17">
        <f>'январь факт'!D30+'февраль факт'!D30+'март факт'!D30+'апрель факт'!D30+'май факт'!D30+'июнь факт'!D30</f>
        <v>0</v>
      </c>
      <c r="E30" s="17">
        <f>'январь факт'!E30+'февраль факт'!E30+'март факт'!E30+'апрель факт'!E30+'май факт'!E30+'июнь факт'!E30</f>
        <v>389.703</v>
      </c>
      <c r="F30" s="18">
        <f>'январь факт'!F30+'февраль факт'!F30+'март факт'!F30+'апрель факт'!F30+'май факт'!F30+'июнь факт'!F30</f>
        <v>276.871</v>
      </c>
      <c r="H30" s="142"/>
      <c r="I30" s="25"/>
      <c r="J30" s="35"/>
      <c r="K30" s="25"/>
      <c r="L30" s="35"/>
      <c r="M30" s="35"/>
      <c r="N30" s="140"/>
    </row>
    <row r="31" spans="1:14" s="2" customFormat="1" ht="23.25" customHeight="1">
      <c r="A31" s="98" t="s">
        <v>13</v>
      </c>
      <c r="B31" s="5">
        <f t="shared" si="0"/>
        <v>521.835</v>
      </c>
      <c r="C31" s="17">
        <f>'январь факт'!C31+'февраль факт'!C31+'март факт'!C31+'апрель факт'!C31+'май факт'!C31+'июнь факт'!C31</f>
        <v>0</v>
      </c>
      <c r="D31" s="17">
        <f>'январь факт'!D31+'февраль факт'!D31+'март факт'!D31+'апрель факт'!D31+'май факт'!D31+'июнь факт'!D31</f>
        <v>0</v>
      </c>
      <c r="E31" s="17">
        <f>'январь факт'!E31+'февраль факт'!E31+'март факт'!E31+'апрель факт'!E31+'май факт'!E31+'июнь факт'!E31</f>
        <v>389.703</v>
      </c>
      <c r="F31" s="18">
        <f>'январь факт'!F31+'февраль факт'!F31+'март факт'!F31+'апрель факт'!F31+'май факт'!F31+'июнь факт'!F31</f>
        <v>132.132</v>
      </c>
      <c r="H31" s="142"/>
      <c r="I31" s="25"/>
      <c r="J31" s="146"/>
      <c r="K31" s="146"/>
      <c r="L31" s="146"/>
      <c r="M31" s="31"/>
      <c r="N31" s="140"/>
    </row>
    <row r="32" spans="1:14" s="2" customFormat="1" ht="23.25" customHeight="1">
      <c r="A32" s="98" t="s">
        <v>10</v>
      </c>
      <c r="B32" s="5">
        <f t="shared" si="0"/>
        <v>144.739</v>
      </c>
      <c r="C32" s="17">
        <f>'январь факт'!C32+'февраль факт'!C32+'март факт'!C32+'апрель факт'!C32+'май факт'!C32+'июнь факт'!C32</f>
        <v>0</v>
      </c>
      <c r="D32" s="17">
        <f>'январь факт'!D32+'февраль факт'!D32+'март факт'!D32+'апрель факт'!D32+'май факт'!D32+'июнь факт'!D32</f>
        <v>0</v>
      </c>
      <c r="E32" s="17">
        <f>'январь факт'!E32+'февраль факт'!E32+'март факт'!E32+'апрель факт'!E32+'май факт'!E32+'июнь факт'!E32</f>
        <v>0</v>
      </c>
      <c r="F32" s="18">
        <f>'январь факт'!F32+'февраль факт'!F32+'март факт'!F32+'апрель факт'!F32+'май факт'!F32+'июнь факт'!F32</f>
        <v>144.739</v>
      </c>
      <c r="H32" s="142"/>
      <c r="I32" s="25"/>
      <c r="J32" s="146"/>
      <c r="K32" s="146"/>
      <c r="L32" s="146"/>
      <c r="M32" s="31"/>
      <c r="N32" s="140"/>
    </row>
    <row r="33" spans="1:14" s="2" customFormat="1" ht="42" customHeight="1">
      <c r="A33" s="98" t="s">
        <v>11</v>
      </c>
      <c r="B33" s="5">
        <f t="shared" si="0"/>
        <v>115.653</v>
      </c>
      <c r="C33" s="17">
        <f>'январь факт'!C33+'февраль факт'!C33+'март факт'!C33+'апрель факт'!C33+'май факт'!C33+'июнь факт'!C33</f>
        <v>0</v>
      </c>
      <c r="D33" s="17">
        <f>'январь факт'!D33+'февраль факт'!D33+'март факт'!D33+'апрель факт'!D33+'май факт'!D33+'июнь факт'!D33</f>
        <v>0</v>
      </c>
      <c r="E33" s="17">
        <f>'январь факт'!E33+'февраль факт'!E33+'март факт'!E33+'апрель факт'!E33+'май факт'!E33+'июнь факт'!E33</f>
        <v>0</v>
      </c>
      <c r="F33" s="18">
        <f>'январь факт'!F33+'февраль факт'!F33+'март факт'!F33+'апрель факт'!F33+'май факт'!F33+'июнь факт'!F33</f>
        <v>115.653</v>
      </c>
      <c r="H33" s="141"/>
      <c r="I33" s="25"/>
      <c r="J33" s="146"/>
      <c r="K33" s="146"/>
      <c r="L33" s="146"/>
      <c r="M33" s="35"/>
      <c r="N33" s="140"/>
    </row>
    <row r="34" spans="1:14" s="2" customFormat="1" ht="19.5" customHeight="1">
      <c r="A34" s="98" t="s">
        <v>12</v>
      </c>
      <c r="B34" s="5">
        <f t="shared" si="0"/>
        <v>29.086000000000002</v>
      </c>
      <c r="C34" s="17">
        <f>'январь факт'!C34+'февраль факт'!C34+'март факт'!C34+'апрель факт'!C34+'май факт'!C34+'июнь факт'!C34</f>
        <v>0</v>
      </c>
      <c r="D34" s="17">
        <f>'январь факт'!D34+'февраль факт'!D34+'март факт'!D34+'апрель факт'!D34+'май факт'!D34+'июнь факт'!D34</f>
        <v>0</v>
      </c>
      <c r="E34" s="17">
        <f>'январь факт'!E34+'февраль факт'!E34+'март факт'!E34+'апрель факт'!E34+'май факт'!E34+'июнь факт'!E34</f>
        <v>0</v>
      </c>
      <c r="F34" s="18">
        <f>'январь факт'!F34+'февраль факт'!F34+'март факт'!F34+'апрель факт'!F34+'май факт'!F34+'июнь факт'!F34</f>
        <v>29.086000000000002</v>
      </c>
      <c r="H34" s="142"/>
      <c r="I34" s="25"/>
      <c r="J34" s="25"/>
      <c r="K34" s="25"/>
      <c r="L34" s="25"/>
      <c r="M34" s="25"/>
      <c r="N34" s="140"/>
    </row>
    <row r="35" spans="1:14" s="2" customFormat="1" ht="42" customHeight="1">
      <c r="A35" s="110" t="s">
        <v>39</v>
      </c>
      <c r="B35" s="5">
        <f t="shared" si="0"/>
        <v>902.3219999999999</v>
      </c>
      <c r="C35" s="17">
        <f>'январь факт'!C35+'февраль факт'!C35+'март факт'!C35+'апрель факт'!C35+'май факт'!C35+'июнь факт'!C35</f>
        <v>0</v>
      </c>
      <c r="D35" s="17">
        <f>'январь факт'!D35+'февраль факт'!D35+'март факт'!D35+'апрель факт'!D35+'май факт'!D35+'июнь факт'!D35</f>
        <v>0</v>
      </c>
      <c r="E35" s="17">
        <f>'январь факт'!E35+'февраль факт'!E35+'март факт'!E35+'апрель факт'!E35+'май факт'!E35+'июнь факт'!E35</f>
        <v>0</v>
      </c>
      <c r="F35" s="18">
        <f>'январь факт'!F35+'февраль факт'!F35+'март факт'!F35+'апрель факт'!F35+'май факт'!F35+'июнь факт'!F35</f>
        <v>902.3219999999999</v>
      </c>
      <c r="H35" s="142"/>
      <c r="I35" s="25"/>
      <c r="J35" s="25"/>
      <c r="K35" s="25"/>
      <c r="L35" s="35"/>
      <c r="M35" s="35"/>
      <c r="N35" s="140"/>
    </row>
    <row r="36" spans="1:14" s="2" customFormat="1" ht="19.5" customHeight="1">
      <c r="A36" s="98" t="s">
        <v>13</v>
      </c>
      <c r="B36" s="5">
        <f t="shared" si="0"/>
        <v>831.178</v>
      </c>
      <c r="C36" s="17">
        <f>'январь факт'!C36+'февраль факт'!C36+'март факт'!C36+'апрель факт'!C36+'май факт'!C36+'июнь факт'!C36</f>
        <v>0</v>
      </c>
      <c r="D36" s="17">
        <f>'январь факт'!D36+'февраль факт'!D36+'март факт'!D36+'апрель факт'!D36+'май факт'!D36+'июнь факт'!D36</f>
        <v>0</v>
      </c>
      <c r="E36" s="17">
        <f>'январь факт'!E36+'февраль факт'!E36+'март факт'!E36+'апрель факт'!E36+'май факт'!E36+'июнь факт'!E36</f>
        <v>0</v>
      </c>
      <c r="F36" s="18">
        <f>'январь факт'!F36+'февраль факт'!F36+'март факт'!F36+'апрель факт'!F36+'май факт'!F36+'июнь факт'!F36</f>
        <v>831.178</v>
      </c>
      <c r="H36" s="142"/>
      <c r="I36" s="25"/>
      <c r="J36" s="146"/>
      <c r="K36" s="146"/>
      <c r="L36" s="146"/>
      <c r="M36" s="31"/>
      <c r="N36" s="140"/>
    </row>
    <row r="37" spans="1:14" s="2" customFormat="1" ht="19.5" customHeight="1">
      <c r="A37" s="98" t="s">
        <v>10</v>
      </c>
      <c r="B37" s="5">
        <f t="shared" si="0"/>
        <v>71.14399999999999</v>
      </c>
      <c r="C37" s="17">
        <f>'январь факт'!C37+'февраль факт'!C37+'март факт'!C37+'апрель факт'!C37+'май факт'!C37+'июнь факт'!C37</f>
        <v>0</v>
      </c>
      <c r="D37" s="17">
        <f>'январь факт'!D37+'февраль факт'!D37+'март факт'!D37+'апрель факт'!D37+'май факт'!D37+'июнь факт'!D37</f>
        <v>0</v>
      </c>
      <c r="E37" s="17">
        <f>'январь факт'!E37+'февраль факт'!E37+'март факт'!E37+'апрель факт'!E37+'май факт'!E37+'июнь факт'!E37</f>
        <v>0</v>
      </c>
      <c r="F37" s="18">
        <f>'январь факт'!F37+'февраль факт'!F37+'март факт'!F37+'апрель факт'!F37+'май факт'!F37+'июнь факт'!F37</f>
        <v>71.14399999999999</v>
      </c>
      <c r="H37" s="142"/>
      <c r="I37" s="25"/>
      <c r="J37" s="146"/>
      <c r="K37" s="146"/>
      <c r="L37" s="146"/>
      <c r="M37" s="31"/>
      <c r="N37" s="140"/>
    </row>
    <row r="38" spans="1:14" s="2" customFormat="1" ht="24.75" customHeight="1">
      <c r="A38" s="98" t="s">
        <v>11</v>
      </c>
      <c r="B38" s="5">
        <f t="shared" si="0"/>
        <v>0</v>
      </c>
      <c r="C38" s="17">
        <f>'январь факт'!C38+'февраль факт'!C38+'март факт'!C38+'апрель факт'!C38+'май факт'!C38+'июнь факт'!C38</f>
        <v>0</v>
      </c>
      <c r="D38" s="17">
        <f>'январь факт'!D38+'февраль факт'!D38+'март факт'!D38+'апрель факт'!D38+'май факт'!D38+'июнь факт'!D38</f>
        <v>0</v>
      </c>
      <c r="E38" s="17">
        <f>'январь факт'!E38+'февраль факт'!E38+'март факт'!E38+'апрель факт'!E38+'май факт'!E38+'июнь факт'!E38</f>
        <v>0</v>
      </c>
      <c r="F38" s="18">
        <f>'январь факт'!F38+'февраль факт'!F38+'март факт'!F38+'апрель факт'!F38+'май факт'!F38+'июнь факт'!F38</f>
        <v>0</v>
      </c>
      <c r="H38" s="47"/>
      <c r="I38" s="25"/>
      <c r="J38" s="34"/>
      <c r="K38" s="25"/>
      <c r="L38" s="35"/>
      <c r="M38" s="35"/>
      <c r="N38" s="140"/>
    </row>
    <row r="39" spans="1:14" s="2" customFormat="1" ht="24.75" customHeight="1">
      <c r="A39" s="98" t="s">
        <v>12</v>
      </c>
      <c r="B39" s="5">
        <f t="shared" si="0"/>
        <v>71.14399999999999</v>
      </c>
      <c r="C39" s="17">
        <f>'январь факт'!C39+'февраль факт'!C39+'март факт'!C39+'апрель факт'!C39+'май факт'!C39+'июнь факт'!C39</f>
        <v>0</v>
      </c>
      <c r="D39" s="17">
        <f>'январь факт'!D39+'февраль факт'!D39+'март факт'!D39+'апрель факт'!D39+'май факт'!D39+'июнь факт'!D39</f>
        <v>0</v>
      </c>
      <c r="E39" s="17">
        <f>'январь факт'!E39+'февраль факт'!E39+'март факт'!E39+'апрель факт'!E39+'май факт'!E39+'июнь факт'!E39</f>
        <v>0</v>
      </c>
      <c r="F39" s="18">
        <f>'январь факт'!F39+'февраль факт'!F39+'март факт'!F39+'апрель факт'!F39+'май факт'!F39+'июнь факт'!F39</f>
        <v>71.14399999999999</v>
      </c>
      <c r="H39" s="142"/>
      <c r="I39" s="25"/>
      <c r="J39" s="25"/>
      <c r="K39" s="25"/>
      <c r="L39" s="35"/>
      <c r="M39" s="35"/>
      <c r="N39" s="140"/>
    </row>
    <row r="40" spans="1:14" s="2" customFormat="1" ht="24.75" customHeight="1">
      <c r="A40" s="110" t="s">
        <v>24</v>
      </c>
      <c r="B40" s="5">
        <f t="shared" si="0"/>
        <v>534.376</v>
      </c>
      <c r="C40" s="17">
        <f>'январь факт'!C40+'февраль факт'!C40+'март факт'!C40+'апрель факт'!C40+'май факт'!C40+'июнь факт'!C40</f>
        <v>66.34700000000001</v>
      </c>
      <c r="D40" s="17">
        <f>'январь факт'!D40+'февраль факт'!D40+'март факт'!D40+'апрель факт'!D40+'май факт'!D40+'июнь факт'!D40</f>
        <v>0</v>
      </c>
      <c r="E40" s="17">
        <f>'январь факт'!E40+'февраль факт'!E40+'март факт'!E40+'апрель факт'!E40+'май факт'!E40+'июнь факт'!E40</f>
        <v>468.029</v>
      </c>
      <c r="F40" s="18">
        <f>'январь факт'!F40+'февраль факт'!F40+'март факт'!F40+'апрель факт'!F40+'май факт'!F40+'июнь факт'!F40</f>
        <v>0</v>
      </c>
      <c r="H40" s="142"/>
      <c r="I40" s="25"/>
      <c r="J40" s="25"/>
      <c r="K40" s="25"/>
      <c r="L40" s="35"/>
      <c r="M40" s="35"/>
      <c r="N40" s="140"/>
    </row>
    <row r="41" spans="1:14" s="2" customFormat="1" ht="24.75" customHeight="1">
      <c r="A41" s="98" t="s">
        <v>13</v>
      </c>
      <c r="B41" s="5">
        <f t="shared" si="0"/>
        <v>534.376</v>
      </c>
      <c r="C41" s="17">
        <f>'январь факт'!C41+'февраль факт'!C41+'март факт'!C41+'апрель факт'!C41+'май факт'!C41+'июнь факт'!C41</f>
        <v>66.34700000000001</v>
      </c>
      <c r="D41" s="17">
        <f>'январь факт'!D41+'февраль факт'!D41+'март факт'!D41+'апрель факт'!D41+'май факт'!D41+'июнь факт'!D41</f>
        <v>0</v>
      </c>
      <c r="E41" s="17">
        <f>'январь факт'!E41+'февраль факт'!E41+'март факт'!E41+'апрель факт'!E41+'май факт'!E41+'июнь факт'!E41</f>
        <v>468.029</v>
      </c>
      <c r="F41" s="18">
        <f>'январь факт'!F41+'февраль факт'!F41+'март факт'!F41+'апрель факт'!F41+'май факт'!F41+'июнь факт'!F41</f>
        <v>0</v>
      </c>
      <c r="H41" s="142"/>
      <c r="I41" s="25"/>
      <c r="J41" s="34"/>
      <c r="K41" s="25"/>
      <c r="L41" s="34"/>
      <c r="M41" s="34"/>
      <c r="N41" s="140"/>
    </row>
    <row r="42" spans="1:14" s="2" customFormat="1" ht="24.75" customHeight="1">
      <c r="A42" s="98" t="s">
        <v>10</v>
      </c>
      <c r="B42" s="5">
        <f t="shared" si="0"/>
        <v>0</v>
      </c>
      <c r="C42" s="17">
        <f>'январь факт'!C42+'февраль факт'!C42+'март факт'!C42+'апрель факт'!C42+'май факт'!C42+'июнь факт'!C42</f>
        <v>0</v>
      </c>
      <c r="D42" s="17">
        <f>'январь факт'!D42+'февраль факт'!D42+'март факт'!D42+'апрель факт'!D42+'май факт'!D42+'июнь факт'!D42</f>
        <v>0</v>
      </c>
      <c r="E42" s="17">
        <f>'январь факт'!E42+'февраль факт'!E42+'март факт'!E42+'апрель факт'!E42+'май факт'!E42+'июнь факт'!E42</f>
        <v>0</v>
      </c>
      <c r="F42" s="18">
        <f>'январь факт'!F42+'февраль факт'!F42+'март факт'!F42+'апрель факт'!F42+'май факт'!F42+'июнь факт'!F42</f>
        <v>0</v>
      </c>
      <c r="H42" s="142"/>
      <c r="I42" s="25"/>
      <c r="J42" s="34"/>
      <c r="K42" s="25"/>
      <c r="L42" s="34"/>
      <c r="M42" s="34"/>
      <c r="N42" s="140"/>
    </row>
    <row r="43" spans="1:14" s="2" customFormat="1" ht="24.75" customHeight="1">
      <c r="A43" s="98" t="s">
        <v>11</v>
      </c>
      <c r="B43" s="5">
        <f t="shared" si="0"/>
        <v>0</v>
      </c>
      <c r="C43" s="17">
        <f>'январь факт'!C43+'февраль факт'!C43+'март факт'!C43+'апрель факт'!C43+'май факт'!C43+'июнь факт'!C43</f>
        <v>0</v>
      </c>
      <c r="D43" s="17">
        <f>'январь факт'!D43+'февраль факт'!D43+'март факт'!D43+'апрель факт'!D43+'май факт'!D43+'июнь факт'!D43</f>
        <v>0</v>
      </c>
      <c r="E43" s="17">
        <f>'январь факт'!E43+'февраль факт'!E43+'март факт'!E43+'апрель факт'!E43+'май факт'!E43+'июнь факт'!E43</f>
        <v>0</v>
      </c>
      <c r="F43" s="18">
        <f>'январь факт'!F43+'февраль факт'!F43+'март факт'!F43+'апрель факт'!F43+'май факт'!F43+'июнь факт'!F43</f>
        <v>0</v>
      </c>
      <c r="H43" s="47"/>
      <c r="I43" s="25"/>
      <c r="J43" s="25"/>
      <c r="K43" s="25"/>
      <c r="L43" s="25"/>
      <c r="M43" s="25"/>
      <c r="N43" s="140"/>
    </row>
    <row r="44" spans="1:14" s="2" customFormat="1" ht="24.75" customHeight="1">
      <c r="A44" s="98" t="s">
        <v>12</v>
      </c>
      <c r="B44" s="5">
        <f t="shared" si="0"/>
        <v>0</v>
      </c>
      <c r="C44" s="17">
        <f>'январь факт'!C44+'февраль факт'!C44+'март факт'!C44+'апрель факт'!C44+'май факт'!C44+'июнь факт'!C44</f>
        <v>0</v>
      </c>
      <c r="D44" s="17">
        <f>'январь факт'!D44+'февраль факт'!D44+'март факт'!D44+'апрель факт'!D44+'май факт'!D44+'июнь факт'!D44</f>
        <v>0</v>
      </c>
      <c r="E44" s="17">
        <f>'январь факт'!E44+'февраль факт'!E44+'март факт'!E44+'апрель факт'!E44+'май факт'!E44+'июнь факт'!E44</f>
        <v>0</v>
      </c>
      <c r="F44" s="18">
        <f>'январь факт'!F44+'февраль факт'!F44+'март факт'!F44+'апрель факт'!F44+'май факт'!F44+'июнь факт'!F44</f>
        <v>0</v>
      </c>
      <c r="H44" s="143"/>
      <c r="I44" s="25"/>
      <c r="J44" s="35"/>
      <c r="K44" s="25"/>
      <c r="L44" s="35"/>
      <c r="M44" s="35"/>
      <c r="N44" s="140"/>
    </row>
    <row r="45" spans="1:14" s="2" customFormat="1" ht="24.75" customHeight="1">
      <c r="A45" s="27" t="s">
        <v>26</v>
      </c>
      <c r="B45" s="5">
        <f t="shared" si="0"/>
        <v>2847.785</v>
      </c>
      <c r="C45" s="17">
        <f>'январь факт'!C45+'февраль факт'!C45+'март факт'!C45+'апрель факт'!C45+'май факт'!C45+'июнь факт'!C45</f>
        <v>0</v>
      </c>
      <c r="D45" s="17">
        <f>'январь факт'!D45+'февраль факт'!D45+'март факт'!D45+'апрель факт'!D45+'май факт'!D45+'июнь факт'!D45</f>
        <v>0</v>
      </c>
      <c r="E45" s="17">
        <f>'январь факт'!E45+'февраль факт'!E45+'март факт'!E45+'апрель факт'!E45+'май факт'!E45+'июнь факт'!E45</f>
        <v>2106.7929999999997</v>
      </c>
      <c r="F45" s="18">
        <f>'январь факт'!F45+'февраль факт'!F45+'март факт'!F45+'апрель факт'!F45+'май факт'!F45+'июнь факт'!F45</f>
        <v>740.9920000000001</v>
      </c>
      <c r="H45" s="144"/>
      <c r="I45" s="147"/>
      <c r="J45" s="148"/>
      <c r="K45" s="149"/>
      <c r="L45" s="149"/>
      <c r="M45" s="35"/>
      <c r="N45" s="140"/>
    </row>
    <row r="46" spans="1:14" s="2" customFormat="1" ht="24.75" customHeight="1">
      <c r="A46" s="98" t="s">
        <v>13</v>
      </c>
      <c r="B46" s="5">
        <f t="shared" si="0"/>
        <v>2847.785</v>
      </c>
      <c r="C46" s="17">
        <f>'январь факт'!C46+'февраль факт'!C46+'март факт'!C46+'апрель факт'!C46+'май факт'!C46+'июнь факт'!C46</f>
        <v>0</v>
      </c>
      <c r="D46" s="17">
        <f>'январь факт'!D46+'февраль факт'!D46+'март факт'!D46+'апрель факт'!D46+'май факт'!D46+'июнь факт'!D46</f>
        <v>0</v>
      </c>
      <c r="E46" s="17">
        <f>'январь факт'!E46+'февраль факт'!E46+'март факт'!E46+'апрель факт'!E46+'май факт'!E46+'июнь факт'!E46</f>
        <v>2106.7929999999997</v>
      </c>
      <c r="F46" s="18">
        <f>'январь факт'!F46+'февраль факт'!F46+'март факт'!F46+'апрель факт'!F46+'май факт'!F46+'июнь факт'!F46</f>
        <v>740.9920000000001</v>
      </c>
      <c r="H46" s="143"/>
      <c r="I46" s="150"/>
      <c r="J46" s="148"/>
      <c r="K46" s="149"/>
      <c r="L46" s="149"/>
      <c r="M46" s="35"/>
      <c r="N46" s="140"/>
    </row>
    <row r="47" spans="1:14" s="2" customFormat="1" ht="24.75" customHeight="1">
      <c r="A47" s="98" t="s">
        <v>10</v>
      </c>
      <c r="B47" s="5">
        <f t="shared" si="0"/>
        <v>0</v>
      </c>
      <c r="C47" s="17">
        <f>'январь факт'!C47+'февраль факт'!C47+'март факт'!C47+'апрель факт'!C47+'май факт'!C47+'июнь факт'!C47</f>
        <v>0</v>
      </c>
      <c r="D47" s="17">
        <f>'январь факт'!D47+'февраль факт'!D47+'март факт'!D47+'апрель факт'!D47+'май факт'!D47+'июнь факт'!D47</f>
        <v>0</v>
      </c>
      <c r="E47" s="17">
        <f>'январь факт'!E47+'февраль факт'!E47+'март факт'!E47+'апрель факт'!E47+'май факт'!E47+'июнь факт'!E47</f>
        <v>0</v>
      </c>
      <c r="F47" s="18">
        <f>'январь факт'!F47+'февраль факт'!F47+'март факт'!F47+'апрель факт'!F47+'май факт'!F47+'июнь факт'!F47</f>
        <v>0</v>
      </c>
      <c r="H47" s="151"/>
      <c r="I47" s="152"/>
      <c r="J47" s="153"/>
      <c r="K47" s="154"/>
      <c r="L47" s="154"/>
      <c r="M47" s="35"/>
      <c r="N47" s="140"/>
    </row>
    <row r="48" spans="1:14" s="2" customFormat="1" ht="21.75" customHeight="1">
      <c r="A48" s="98" t="s">
        <v>11</v>
      </c>
      <c r="B48" s="5">
        <f t="shared" si="0"/>
        <v>0</v>
      </c>
      <c r="C48" s="17">
        <f>'январь факт'!C48+'февраль факт'!C48+'март факт'!C48+'апрель факт'!C48+'май факт'!C48+'июнь факт'!C48</f>
        <v>0</v>
      </c>
      <c r="D48" s="17">
        <f>'январь факт'!D48+'февраль факт'!D48+'март факт'!D48+'апрель факт'!D48+'май факт'!D48+'июнь факт'!D48</f>
        <v>0</v>
      </c>
      <c r="E48" s="17">
        <f>'январь факт'!E48+'февраль факт'!E48+'март факт'!E48+'апрель факт'!E48+'май факт'!E48+'июнь факт'!E48</f>
        <v>0</v>
      </c>
      <c r="F48" s="18">
        <f>'январь факт'!F48+'февраль факт'!F48+'март факт'!F48+'апрель факт'!F48+'май факт'!F48+'июнь факт'!F48</f>
        <v>0</v>
      </c>
      <c r="H48" s="151"/>
      <c r="I48" s="152"/>
      <c r="J48" s="153"/>
      <c r="K48" s="152"/>
      <c r="L48" s="152"/>
      <c r="M48" s="35"/>
      <c r="N48" s="140"/>
    </row>
    <row r="49" spans="1:14" s="2" customFormat="1" ht="26.25" customHeight="1">
      <c r="A49" s="98" t="s">
        <v>12</v>
      </c>
      <c r="B49" s="5">
        <f t="shared" si="0"/>
        <v>0</v>
      </c>
      <c r="C49" s="17">
        <f>'январь факт'!C49+'февраль факт'!C49+'март факт'!C49+'апрель факт'!C49+'май факт'!C49+'июнь факт'!C49</f>
        <v>0</v>
      </c>
      <c r="D49" s="17">
        <f>'январь факт'!D49+'февраль факт'!D49+'март факт'!D49+'апрель факт'!D49+'май факт'!D49+'июнь факт'!D49</f>
        <v>0</v>
      </c>
      <c r="E49" s="17">
        <f>'январь факт'!E49+'февраль факт'!E49+'март факт'!E49+'апрель факт'!E49+'май факт'!E49+'июнь факт'!E49</f>
        <v>0</v>
      </c>
      <c r="F49" s="18">
        <f>'январь факт'!F49+'февраль факт'!F49+'март факт'!F49+'апрель факт'!F49+'май факт'!F49+'июнь факт'!F49</f>
        <v>0</v>
      </c>
      <c r="H49" s="151"/>
      <c r="I49" s="152"/>
      <c r="J49" s="153"/>
      <c r="K49" s="154"/>
      <c r="L49" s="154"/>
      <c r="M49" s="35"/>
      <c r="N49" s="140"/>
    </row>
    <row r="50" spans="1:14" s="2" customFormat="1" ht="26.25" customHeight="1">
      <c r="A50" s="27" t="s">
        <v>4</v>
      </c>
      <c r="B50" s="5">
        <f t="shared" si="0"/>
        <v>4536.919</v>
      </c>
      <c r="C50" s="17">
        <f>'январь факт'!C50+'февраль факт'!C50+'март факт'!C50+'апрель факт'!C50+'май факт'!C50+'июнь факт'!C50</f>
        <v>4536.919</v>
      </c>
      <c r="D50" s="17">
        <f>'январь факт'!D50+'февраль факт'!D50+'март факт'!D50+'апрель факт'!D50+'май факт'!D50+'июнь факт'!D50</f>
        <v>0</v>
      </c>
      <c r="E50" s="17">
        <f>'январь факт'!E50+'февраль факт'!E50+'март факт'!E50+'апрель факт'!E50+'май факт'!E50+'июнь факт'!E50</f>
        <v>0</v>
      </c>
      <c r="F50" s="18">
        <f>'январь факт'!F50+'февраль факт'!F50+'март факт'!F50+'апрель факт'!F50+'май факт'!F50+'июнь факт'!F50</f>
        <v>0</v>
      </c>
      <c r="H50" s="151"/>
      <c r="I50" s="152"/>
      <c r="J50" s="153"/>
      <c r="K50" s="152"/>
      <c r="L50" s="152"/>
      <c r="M50" s="35"/>
      <c r="N50" s="140"/>
    </row>
    <row r="51" spans="1:14" s="2" customFormat="1" ht="32.25" customHeight="1">
      <c r="A51" s="97" t="s">
        <v>48</v>
      </c>
      <c r="B51" s="5">
        <f t="shared" si="0"/>
        <v>4536.919</v>
      </c>
      <c r="C51" s="17">
        <f>'январь факт'!C51+'февраль факт'!C51+'март факт'!C51+'апрель факт'!C51+'май факт'!C51+'июнь факт'!C51</f>
        <v>4536.919</v>
      </c>
      <c r="D51" s="17">
        <f>'январь факт'!D51+'февраль факт'!D51+'март факт'!D51+'апрель факт'!D51+'май факт'!D51+'июнь факт'!D51</f>
        <v>0</v>
      </c>
      <c r="E51" s="17">
        <f>'январь факт'!E51+'февраль факт'!E51+'март факт'!E51+'апрель факт'!E51+'май факт'!E51+'июнь факт'!E51</f>
        <v>0</v>
      </c>
      <c r="F51" s="18">
        <f>'январь факт'!F51+'февраль факт'!F51+'март факт'!F51+'апрель факт'!F51+'май факт'!F51+'июнь факт'!F51</f>
        <v>0</v>
      </c>
      <c r="H51" s="142"/>
      <c r="I51" s="25"/>
      <c r="J51" s="35"/>
      <c r="K51" s="25"/>
      <c r="L51" s="35"/>
      <c r="M51" s="35"/>
      <c r="N51" s="140"/>
    </row>
    <row r="52" spans="1:14" s="2" customFormat="1" ht="24.75" customHeight="1">
      <c r="A52" s="98" t="s">
        <v>10</v>
      </c>
      <c r="B52" s="5">
        <f t="shared" si="0"/>
        <v>0</v>
      </c>
      <c r="C52" s="17">
        <f>'январь факт'!C52+'февраль факт'!C52+'март факт'!C52+'апрель факт'!C52+'май факт'!C52+'июнь факт'!C52</f>
        <v>0</v>
      </c>
      <c r="D52" s="17">
        <f>'январь факт'!D52+'февраль факт'!D52+'март факт'!D52+'апрель факт'!D52+'май факт'!D52+'июнь факт'!D52</f>
        <v>0</v>
      </c>
      <c r="E52" s="17">
        <f>'январь факт'!E52+'февраль факт'!E52+'март факт'!E52+'апрель факт'!E52+'май факт'!E52+'июнь факт'!E52</f>
        <v>0</v>
      </c>
      <c r="F52" s="18">
        <f>'январь факт'!F52+'февраль факт'!F52+'март факт'!F52+'апрель факт'!F52+'май факт'!F52+'июнь факт'!F52</f>
        <v>0</v>
      </c>
      <c r="H52" s="142"/>
      <c r="I52" s="25"/>
      <c r="J52" s="135"/>
      <c r="K52" s="25"/>
      <c r="L52" s="25"/>
      <c r="M52" s="25"/>
      <c r="N52" s="140"/>
    </row>
    <row r="53" spans="1:14" s="2" customFormat="1" ht="21.75" customHeight="1">
      <c r="A53" s="98" t="s">
        <v>11</v>
      </c>
      <c r="B53" s="5">
        <f t="shared" si="0"/>
        <v>0</v>
      </c>
      <c r="C53" s="17">
        <f>'январь факт'!C53+'февраль факт'!C53+'март факт'!C53+'апрель факт'!C53+'май факт'!C53+'июнь факт'!C53</f>
        <v>0</v>
      </c>
      <c r="D53" s="17">
        <f>'январь факт'!D53+'февраль факт'!D53+'март факт'!D53+'апрель факт'!D53+'май факт'!D53+'июнь факт'!D53</f>
        <v>0</v>
      </c>
      <c r="E53" s="17">
        <f>'январь факт'!E53+'февраль факт'!E53+'март факт'!E53+'апрель факт'!E53+'май факт'!E53+'июнь факт'!E53</f>
        <v>0</v>
      </c>
      <c r="F53" s="18">
        <f>'январь факт'!F53+'февраль факт'!F53+'март факт'!F53+'апрель факт'!F53+'май факт'!F53+'июнь факт'!F53</f>
        <v>0</v>
      </c>
      <c r="H53" s="142"/>
      <c r="I53" s="25"/>
      <c r="J53" s="135"/>
      <c r="K53" s="25"/>
      <c r="L53" s="25"/>
      <c r="M53" s="25"/>
      <c r="N53" s="140"/>
    </row>
    <row r="54" spans="1:14" s="2" customFormat="1" ht="18" customHeight="1">
      <c r="A54" s="98" t="s">
        <v>12</v>
      </c>
      <c r="B54" s="5">
        <f t="shared" si="0"/>
        <v>0</v>
      </c>
      <c r="C54" s="17">
        <f>'январь факт'!C54+'февраль факт'!C54+'март факт'!C54+'апрель факт'!C54+'май факт'!C54+'июнь факт'!C54</f>
        <v>0</v>
      </c>
      <c r="D54" s="17">
        <f>'январь факт'!D54+'февраль факт'!D54+'март факт'!D54+'апрель факт'!D54+'май факт'!D54+'июнь факт'!D54</f>
        <v>0</v>
      </c>
      <c r="E54" s="17">
        <f>'январь факт'!E54+'февраль факт'!E54+'март факт'!E54+'апрель факт'!E54+'май факт'!E54+'июнь факт'!E54</f>
        <v>0</v>
      </c>
      <c r="F54" s="18">
        <f>'январь факт'!F54+'февраль факт'!F54+'март факт'!F54+'апрель факт'!F54+'май факт'!F54+'июнь факт'!F54</f>
        <v>0</v>
      </c>
      <c r="H54" s="141"/>
      <c r="I54" s="25"/>
      <c r="J54" s="35"/>
      <c r="K54" s="35"/>
      <c r="L54" s="35"/>
      <c r="M54" s="35"/>
      <c r="N54" s="140"/>
    </row>
    <row r="55" spans="1:14" s="2" customFormat="1" ht="74.25" customHeight="1">
      <c r="A55" s="110" t="s">
        <v>40</v>
      </c>
      <c r="B55" s="5">
        <f t="shared" si="0"/>
        <v>10758.872000000001</v>
      </c>
      <c r="C55" s="17">
        <f>'январь факт'!C55+'февраль факт'!C55+'март факт'!C55+'апрель факт'!C55+'май факт'!C55+'июнь факт'!C55</f>
        <v>5810.731000000001</v>
      </c>
      <c r="D55" s="17">
        <f>'январь факт'!D55+'февраль факт'!D55+'март факт'!D55+'апрель факт'!D55+'май факт'!D55+'июнь факт'!D55</f>
        <v>0</v>
      </c>
      <c r="E55" s="17">
        <f>'январь факт'!E55+'февраль факт'!E55+'март факт'!E55+'апрель факт'!E55+'май факт'!E55+'июнь факт'!E55</f>
        <v>2257.471</v>
      </c>
      <c r="F55" s="18">
        <f>'январь факт'!F55+'февраль факт'!F55+'март факт'!F55+'апрель факт'!F55+'май факт'!F55+'июнь факт'!F55</f>
        <v>2690.67</v>
      </c>
      <c r="H55" s="143"/>
      <c r="I55" s="25"/>
      <c r="J55" s="35"/>
      <c r="K55" s="35"/>
      <c r="L55" s="35"/>
      <c r="M55" s="35"/>
      <c r="N55" s="140"/>
    </row>
    <row r="56" spans="1:14" s="2" customFormat="1" ht="39.75" customHeight="1">
      <c r="A56" s="97" t="s">
        <v>48</v>
      </c>
      <c r="B56" s="5">
        <f t="shared" si="0"/>
        <v>8849.215000000002</v>
      </c>
      <c r="C56" s="17">
        <f>'январь факт'!C56+'февраль факт'!C56+'март факт'!C56+'апрель факт'!C56+'май факт'!C56+'июнь факт'!C56</f>
        <v>5810.731000000001</v>
      </c>
      <c r="D56" s="17">
        <f>'январь факт'!D56+'февраль факт'!D56+'март факт'!D56+'апрель факт'!D56+'май факт'!D56+'июнь факт'!D56</f>
        <v>0</v>
      </c>
      <c r="E56" s="17">
        <f>'январь факт'!E56+'февраль факт'!E56+'март факт'!E56+'апрель факт'!E56+'май факт'!E56+'июнь факт'!E56</f>
        <v>2257.471</v>
      </c>
      <c r="F56" s="18">
        <f>'январь факт'!F56+'февраль факт'!F56+'март факт'!F56+'апрель факт'!F56+'май факт'!F56+'июнь факт'!F56</f>
        <v>781.013</v>
      </c>
      <c r="H56" s="143"/>
      <c r="I56" s="25"/>
      <c r="J56" s="155"/>
      <c r="K56" s="25"/>
      <c r="L56" s="25"/>
      <c r="M56" s="25"/>
      <c r="N56" s="140"/>
    </row>
    <row r="57" spans="1:14" s="33" customFormat="1" ht="23.25" customHeight="1">
      <c r="A57" s="98" t="s">
        <v>10</v>
      </c>
      <c r="B57" s="5">
        <f t="shared" si="0"/>
        <v>1909.657</v>
      </c>
      <c r="C57" s="17">
        <f>'январь факт'!C57+'февраль факт'!C57+'март факт'!C57+'апрель факт'!C57+'май факт'!C57+'июнь факт'!C57</f>
        <v>0</v>
      </c>
      <c r="D57" s="17">
        <f>'январь факт'!D57+'февраль факт'!D57+'март факт'!D57+'апрель факт'!D57+'май факт'!D57+'июнь факт'!D57</f>
        <v>0</v>
      </c>
      <c r="E57" s="17">
        <f>'январь факт'!E57+'февраль факт'!E57+'март факт'!E57+'апрель факт'!E57+'май факт'!E57+'июнь факт'!E57</f>
        <v>0</v>
      </c>
      <c r="F57" s="18">
        <f>'январь факт'!F57+'февраль факт'!F57+'март факт'!F57+'апрель факт'!F57+'май факт'!F57+'июнь факт'!F57</f>
        <v>1909.657</v>
      </c>
      <c r="H57" s="143"/>
      <c r="I57" s="150"/>
      <c r="J57" s="155"/>
      <c r="K57" s="123"/>
      <c r="L57" s="123"/>
      <c r="M57" s="145"/>
      <c r="N57" s="138"/>
    </row>
    <row r="58" spans="1:14" s="33" customFormat="1" ht="23.25" customHeight="1">
      <c r="A58" s="98" t="s">
        <v>11</v>
      </c>
      <c r="B58" s="5">
        <f t="shared" si="0"/>
        <v>1724.7060000000001</v>
      </c>
      <c r="C58" s="17">
        <f>'январь факт'!C58+'февраль факт'!C58+'март факт'!C58+'апрель факт'!C58+'май факт'!C58+'июнь факт'!C58</f>
        <v>0</v>
      </c>
      <c r="D58" s="17">
        <f>'январь факт'!D58+'февраль факт'!D58+'март факт'!D58+'апрель факт'!D58+'май факт'!D58+'июнь факт'!D58</f>
        <v>0</v>
      </c>
      <c r="E58" s="17">
        <f>'январь факт'!E58+'февраль факт'!E58+'март факт'!E58+'апрель факт'!E58+'май факт'!E58+'июнь факт'!E58</f>
        <v>0</v>
      </c>
      <c r="F58" s="18">
        <f>'январь факт'!F58+'февраль факт'!F58+'март факт'!F58+'апрель факт'!F58+'май факт'!F58+'июнь факт'!F58</f>
        <v>1724.7060000000001</v>
      </c>
      <c r="H58" s="142"/>
      <c r="I58" s="25"/>
      <c r="J58" s="35"/>
      <c r="K58" s="35"/>
      <c r="L58" s="35"/>
      <c r="M58" s="35"/>
      <c r="N58" s="138"/>
    </row>
    <row r="59" spans="1:14" s="33" customFormat="1" ht="23.25" customHeight="1">
      <c r="A59" s="98" t="s">
        <v>12</v>
      </c>
      <c r="B59" s="5">
        <f t="shared" si="0"/>
        <v>184.95100000000002</v>
      </c>
      <c r="C59" s="17">
        <f>'январь факт'!C59+'февраль факт'!C59+'март факт'!C59+'апрель факт'!C59+'май факт'!C59+'июнь факт'!C59</f>
        <v>0</v>
      </c>
      <c r="D59" s="17">
        <f>'январь факт'!D59+'февраль факт'!D59+'март факт'!D59+'апрель факт'!D59+'май факт'!D59+'июнь факт'!D59</f>
        <v>0</v>
      </c>
      <c r="E59" s="17">
        <f>'январь факт'!E59+'февраль факт'!E59+'март факт'!E59+'апрель факт'!E59+'май факт'!E59+'июнь факт'!E59</f>
        <v>0</v>
      </c>
      <c r="F59" s="18">
        <f>'январь факт'!F59+'февраль факт'!F59+'март факт'!F59+'апрель факт'!F59+'май факт'!F59+'июнь факт'!F59</f>
        <v>184.95100000000002</v>
      </c>
      <c r="H59" s="142"/>
      <c r="I59" s="25"/>
      <c r="J59" s="135"/>
      <c r="K59" s="25"/>
      <c r="L59" s="25"/>
      <c r="M59" s="25"/>
      <c r="N59" s="138"/>
    </row>
    <row r="60" spans="1:14" s="33" customFormat="1" ht="33" customHeight="1">
      <c r="A60" s="110" t="s">
        <v>25</v>
      </c>
      <c r="B60" s="5">
        <f t="shared" si="0"/>
        <v>11886.015</v>
      </c>
      <c r="C60" s="17">
        <f>'январь факт'!C60+'февраль факт'!C60+'март факт'!C60+'апрель факт'!C60+'май факт'!C60+'июнь факт'!C60</f>
        <v>11806.311</v>
      </c>
      <c r="D60" s="17">
        <f>'январь факт'!D60+'февраль факт'!D60+'март факт'!D60+'апрель факт'!D60+'май факт'!D60+'июнь факт'!D60</f>
        <v>0</v>
      </c>
      <c r="E60" s="17">
        <f>'январь факт'!E60+'февраль факт'!E60+'март факт'!E60+'апрель факт'!E60+'май факт'!E60+'июнь факт'!E60</f>
        <v>0</v>
      </c>
      <c r="F60" s="18">
        <f>'январь факт'!F60+'февраль факт'!F60+'март факт'!F60+'апрель факт'!F60+'май факт'!F60+'июнь факт'!F60</f>
        <v>79.704</v>
      </c>
      <c r="H60" s="142"/>
      <c r="I60" s="25"/>
      <c r="J60" s="135"/>
      <c r="K60" s="25"/>
      <c r="L60" s="25"/>
      <c r="M60" s="25"/>
      <c r="N60" s="138"/>
    </row>
    <row r="61" spans="1:14" s="33" customFormat="1" ht="30.75" customHeight="1">
      <c r="A61" s="98" t="s">
        <v>13</v>
      </c>
      <c r="B61" s="5">
        <f t="shared" si="0"/>
        <v>11886.015</v>
      </c>
      <c r="C61" s="17">
        <f>'январь факт'!C61+'февраль факт'!C61+'март факт'!C61+'апрель факт'!C61+'май факт'!C61+'июнь факт'!C61</f>
        <v>11806.311</v>
      </c>
      <c r="D61" s="17">
        <f>'январь факт'!D61+'февраль факт'!D61+'март факт'!D61+'апрель факт'!D61+'май факт'!D61+'июнь факт'!D61</f>
        <v>0</v>
      </c>
      <c r="E61" s="17">
        <f>'январь факт'!E61+'февраль факт'!E61+'март факт'!E61+'апрель факт'!E61+'май факт'!E61+'июнь факт'!E61</f>
        <v>0</v>
      </c>
      <c r="F61" s="18">
        <f>'январь факт'!F61+'февраль факт'!F61+'март факт'!F61+'апрель факт'!F61+'май факт'!F61+'июнь факт'!F61</f>
        <v>79.704</v>
      </c>
      <c r="H61" s="141"/>
      <c r="I61" s="25"/>
      <c r="J61" s="25"/>
      <c r="K61" s="25"/>
      <c r="L61" s="25"/>
      <c r="M61" s="25"/>
      <c r="N61" s="138"/>
    </row>
    <row r="62" spans="1:14" ht="28.5" customHeight="1">
      <c r="A62" s="98" t="s">
        <v>10</v>
      </c>
      <c r="B62" s="5">
        <f t="shared" si="0"/>
        <v>0</v>
      </c>
      <c r="C62" s="17">
        <f>'январь факт'!C62+'февраль факт'!C62+'март факт'!C62+'апрель факт'!C62+'май факт'!C62+'июнь факт'!C62</f>
        <v>0</v>
      </c>
      <c r="D62" s="17">
        <f>'январь факт'!D62+'февраль факт'!D62+'март факт'!D62+'апрель факт'!D62+'май факт'!D62+'июнь факт'!D62</f>
        <v>0</v>
      </c>
      <c r="E62" s="17">
        <f>'январь факт'!E62+'февраль факт'!E62+'март факт'!E62+'апрель факт'!E62+'май факт'!E62+'июнь факт'!E62</f>
        <v>0</v>
      </c>
      <c r="F62" s="18">
        <f>'январь факт'!F62+'февраль факт'!F62+'март факт'!F62+'апрель факт'!F62+'май факт'!F62+'июнь факт'!F62</f>
        <v>0</v>
      </c>
      <c r="G62" s="3"/>
      <c r="H62" s="142"/>
      <c r="I62" s="25"/>
      <c r="J62" s="156"/>
      <c r="K62" s="156"/>
      <c r="L62" s="156"/>
      <c r="M62" s="156"/>
      <c r="N62" s="139"/>
    </row>
    <row r="63" spans="1:14" ht="23.25">
      <c r="A63" s="98" t="s">
        <v>11</v>
      </c>
      <c r="B63" s="5">
        <f t="shared" si="0"/>
        <v>0</v>
      </c>
      <c r="C63" s="17">
        <f>'январь факт'!C63+'февраль факт'!C63+'март факт'!C63+'апрель факт'!C63+'май факт'!C63+'июнь факт'!C63</f>
        <v>0</v>
      </c>
      <c r="D63" s="17">
        <f>'январь факт'!D63+'февраль факт'!D63+'март факт'!D63+'апрель факт'!D63+'май факт'!D63+'июнь факт'!D63</f>
        <v>0</v>
      </c>
      <c r="E63" s="17">
        <f>'январь факт'!E63+'февраль факт'!E63+'март факт'!E63+'апрель факт'!E63+'май факт'!E63+'июнь факт'!E63</f>
        <v>0</v>
      </c>
      <c r="F63" s="18">
        <f>'январь факт'!F63+'февраль факт'!F63+'март факт'!F63+'апрель факт'!F63+'май факт'!F63+'июнь факт'!F63</f>
        <v>0</v>
      </c>
      <c r="G63" s="3"/>
      <c r="H63" s="142"/>
      <c r="I63" s="25"/>
      <c r="J63" s="135"/>
      <c r="K63" s="25"/>
      <c r="L63" s="25"/>
      <c r="M63" s="25"/>
      <c r="N63" s="139"/>
    </row>
    <row r="64" spans="1:14" ht="23.25">
      <c r="A64" s="98" t="s">
        <v>12</v>
      </c>
      <c r="B64" s="5">
        <f t="shared" si="0"/>
        <v>0</v>
      </c>
      <c r="C64" s="17">
        <f>'январь факт'!C64+'февраль факт'!C64+'март факт'!C64+'апрель факт'!C64+'май факт'!C64+'июнь факт'!C64</f>
        <v>0</v>
      </c>
      <c r="D64" s="17">
        <f>'январь факт'!D64+'февраль факт'!D64+'март факт'!D64+'апрель факт'!D64+'май факт'!D64+'июнь факт'!D64</f>
        <v>0</v>
      </c>
      <c r="E64" s="17">
        <f>'январь факт'!E64+'февраль факт'!E64+'март факт'!E64+'апрель факт'!E64+'май факт'!E64+'июнь факт'!E64</f>
        <v>0</v>
      </c>
      <c r="F64" s="18">
        <f>'январь факт'!F64+'февраль факт'!F64+'март факт'!F64+'апрель факт'!F64+'май факт'!F64+'июнь факт'!F64</f>
        <v>0</v>
      </c>
      <c r="G64" s="3"/>
      <c r="H64" s="142"/>
      <c r="I64" s="25"/>
      <c r="J64" s="135"/>
      <c r="K64" s="25"/>
      <c r="L64" s="34"/>
      <c r="M64" s="34"/>
      <c r="N64" s="139"/>
    </row>
    <row r="65" spans="1:14" ht="23.25">
      <c r="A65" s="110" t="s">
        <v>41</v>
      </c>
      <c r="B65" s="5">
        <f t="shared" si="0"/>
        <v>183.22100000000003</v>
      </c>
      <c r="C65" s="17">
        <f>'январь факт'!C65+'февраль факт'!C65+'март факт'!C65+'апрель факт'!C65+'май факт'!C65+'июнь факт'!C65</f>
        <v>0</v>
      </c>
      <c r="D65" s="17">
        <f>'январь факт'!D65+'февраль факт'!D65+'март факт'!D65+'апрель факт'!D65+'май факт'!D65+'июнь факт'!D65</f>
        <v>0</v>
      </c>
      <c r="E65" s="17">
        <f>'январь факт'!E65+'февраль факт'!E65+'март факт'!E65+'апрель факт'!E65+'май факт'!E65+'июнь факт'!E65</f>
        <v>183.22100000000003</v>
      </c>
      <c r="F65" s="18">
        <f>'январь факт'!F65+'февраль факт'!F65+'март факт'!F65+'апрель факт'!F65+'май факт'!F65+'июнь факт'!F65</f>
        <v>0</v>
      </c>
      <c r="G65" s="3"/>
      <c r="H65" s="142"/>
      <c r="I65" s="25"/>
      <c r="J65" s="135"/>
      <c r="K65" s="25"/>
      <c r="L65" s="34"/>
      <c r="M65" s="34"/>
      <c r="N65" s="139"/>
    </row>
    <row r="66" spans="1:14" ht="23.25">
      <c r="A66" s="98" t="s">
        <v>13</v>
      </c>
      <c r="B66" s="5">
        <f t="shared" si="0"/>
        <v>183.22100000000003</v>
      </c>
      <c r="C66" s="17">
        <f>'январь факт'!C66+'февраль факт'!C66+'март факт'!C66+'апрель факт'!C66+'май факт'!C66+'июнь факт'!C66</f>
        <v>0</v>
      </c>
      <c r="D66" s="17">
        <f>'январь факт'!D66+'февраль факт'!D66+'март факт'!D66+'апрель факт'!D66+'май факт'!D66+'июнь факт'!D66</f>
        <v>0</v>
      </c>
      <c r="E66" s="17">
        <f>'январь факт'!E66+'февраль факт'!E66+'март факт'!E66+'апрель факт'!E66+'май факт'!E66+'июнь факт'!E66</f>
        <v>183.22100000000003</v>
      </c>
      <c r="F66" s="18">
        <f>'январь факт'!F66+'февраль факт'!F66+'март факт'!F66+'апрель факт'!F66+'май факт'!F66+'июнь факт'!F66</f>
        <v>0</v>
      </c>
      <c r="G66" s="3"/>
      <c r="H66" s="141"/>
      <c r="I66" s="25"/>
      <c r="J66" s="25"/>
      <c r="K66" s="25"/>
      <c r="L66" s="25"/>
      <c r="M66" s="25"/>
      <c r="N66" s="139"/>
    </row>
    <row r="67" spans="1:14" ht="23.25">
      <c r="A67" s="98" t="s">
        <v>10</v>
      </c>
      <c r="B67" s="5">
        <f t="shared" si="0"/>
        <v>0</v>
      </c>
      <c r="C67" s="17">
        <f>'январь факт'!C67+'февраль факт'!C67+'март факт'!C67+'апрель факт'!C67+'май факт'!C67+'июнь факт'!C67</f>
        <v>0</v>
      </c>
      <c r="D67" s="17">
        <f>'январь факт'!D67+'февраль факт'!D67+'март факт'!D67+'апрель факт'!D67+'май факт'!D67+'июнь факт'!D67</f>
        <v>0</v>
      </c>
      <c r="E67" s="17">
        <f>'январь факт'!E67+'февраль факт'!E67+'март факт'!E67+'апрель факт'!E67+'май факт'!E67+'июнь факт'!E67</f>
        <v>0</v>
      </c>
      <c r="F67" s="18">
        <f>'январь факт'!F67+'февраль факт'!F67+'март факт'!F67+'апрель факт'!F67+'май факт'!F67+'июнь факт'!F67</f>
        <v>0</v>
      </c>
      <c r="G67" s="3"/>
      <c r="H67" s="142"/>
      <c r="I67" s="25"/>
      <c r="J67" s="145"/>
      <c r="K67" s="145"/>
      <c r="L67" s="145"/>
      <c r="M67" s="145"/>
      <c r="N67" s="139"/>
    </row>
    <row r="68" spans="1:14" ht="23.25">
      <c r="A68" s="98" t="s">
        <v>11</v>
      </c>
      <c r="B68" s="5">
        <f t="shared" si="0"/>
        <v>0</v>
      </c>
      <c r="C68" s="17">
        <f>'январь факт'!C68+'февраль факт'!C68+'март факт'!C68+'апрель факт'!C68+'май факт'!C68+'июнь факт'!C68</f>
        <v>0</v>
      </c>
      <c r="D68" s="17">
        <f>'январь факт'!D68+'февраль факт'!D68+'март факт'!D68+'апрель факт'!D68+'май факт'!D68+'июнь факт'!D68</f>
        <v>0</v>
      </c>
      <c r="E68" s="17">
        <f>'январь факт'!E68+'февраль факт'!E68+'март факт'!E68+'апрель факт'!E68+'май факт'!E68+'июнь факт'!E68</f>
        <v>0</v>
      </c>
      <c r="F68" s="18">
        <f>'январь факт'!F68+'февраль факт'!F68+'март факт'!F68+'апрель факт'!F68+'май факт'!F68+'июнь факт'!F68</f>
        <v>0</v>
      </c>
      <c r="G68" s="3"/>
      <c r="H68" s="142"/>
      <c r="I68" s="25"/>
      <c r="J68" s="135"/>
      <c r="K68" s="25"/>
      <c r="L68" s="25"/>
      <c r="M68" s="25"/>
      <c r="N68" s="139"/>
    </row>
    <row r="69" spans="1:14" ht="23.25">
      <c r="A69" s="98" t="s">
        <v>12</v>
      </c>
      <c r="B69" s="5">
        <f t="shared" si="0"/>
        <v>0</v>
      </c>
      <c r="C69" s="17">
        <f>'январь факт'!C69+'февраль факт'!C69+'март факт'!C69+'апрель факт'!C69+'май факт'!C69+'июнь факт'!C69</f>
        <v>0</v>
      </c>
      <c r="D69" s="17">
        <f>'январь факт'!D69+'февраль факт'!D69+'март факт'!D69+'апрель факт'!D69+'май факт'!D69+'июнь факт'!D69</f>
        <v>0</v>
      </c>
      <c r="E69" s="17">
        <f>'январь факт'!E69+'февраль факт'!E69+'март факт'!E69+'апрель факт'!E69+'май факт'!E69+'июнь факт'!E69</f>
        <v>0</v>
      </c>
      <c r="F69" s="18">
        <f>'январь факт'!F69+'февраль факт'!F69+'март факт'!F69+'апрель факт'!F69+'май факт'!F69+'июнь факт'!F69</f>
        <v>0</v>
      </c>
      <c r="G69" s="3"/>
      <c r="H69" s="142"/>
      <c r="I69" s="25"/>
      <c r="J69" s="135"/>
      <c r="K69" s="25"/>
      <c r="L69" s="34"/>
      <c r="M69" s="34"/>
      <c r="N69" s="139"/>
    </row>
    <row r="70" spans="1:14" ht="36">
      <c r="A70" s="110" t="s">
        <v>23</v>
      </c>
      <c r="B70" s="5">
        <f aca="true" t="shared" si="1" ref="B70:B114">C70+D70+E70+F70</f>
        <v>535.1600000000001</v>
      </c>
      <c r="C70" s="17">
        <f>'январь факт'!C70+'февраль факт'!C70+'март факт'!C70+'апрель факт'!C70+'май факт'!C70+'июнь факт'!C70</f>
        <v>0</v>
      </c>
      <c r="D70" s="17">
        <f>'январь факт'!D70+'февраль факт'!D70+'март факт'!D70+'апрель факт'!D70+'май факт'!D70+'июнь факт'!D70</f>
        <v>0</v>
      </c>
      <c r="E70" s="17">
        <f>'январь факт'!E70+'февраль факт'!E70+'март факт'!E70+'апрель факт'!E70+'май факт'!E70+'июнь факт'!E70</f>
        <v>0</v>
      </c>
      <c r="F70" s="18">
        <f>'январь факт'!F70+'февраль факт'!F70+'март факт'!F70+'апрель факт'!F70+'май факт'!F70+'июнь факт'!F70</f>
        <v>535.1600000000001</v>
      </c>
      <c r="G70" s="3"/>
      <c r="H70" s="142"/>
      <c r="I70" s="25"/>
      <c r="J70" s="135"/>
      <c r="K70" s="25"/>
      <c r="L70" s="34"/>
      <c r="M70" s="34"/>
      <c r="N70" s="139"/>
    </row>
    <row r="71" spans="1:14" ht="23.25">
      <c r="A71" s="98" t="s">
        <v>13</v>
      </c>
      <c r="B71" s="5">
        <f t="shared" si="1"/>
        <v>71.912</v>
      </c>
      <c r="C71" s="17">
        <f>'январь факт'!C71+'февраль факт'!C71+'март факт'!C71+'апрель факт'!C71+'май факт'!C71+'июнь факт'!C71</f>
        <v>0</v>
      </c>
      <c r="D71" s="17">
        <f>'январь факт'!D71+'февраль факт'!D71+'март факт'!D71+'апрель факт'!D71+'май факт'!D71+'июнь факт'!D71</f>
        <v>0</v>
      </c>
      <c r="E71" s="17">
        <f>'январь факт'!E71+'февраль факт'!E71+'март факт'!E71+'апрель факт'!E71+'май факт'!E71+'июнь факт'!E71</f>
        <v>0</v>
      </c>
      <c r="F71" s="18">
        <f>'январь факт'!F71+'февраль факт'!F71+'март факт'!F71+'апрель факт'!F71+'май факт'!F71+'июнь факт'!F71</f>
        <v>71.912</v>
      </c>
      <c r="G71" s="3"/>
      <c r="H71" s="141"/>
      <c r="I71" s="25"/>
      <c r="J71" s="135"/>
      <c r="K71" s="25"/>
      <c r="L71" s="25"/>
      <c r="M71" s="25"/>
      <c r="N71" s="139"/>
    </row>
    <row r="72" spans="1:14" ht="23.25">
      <c r="A72" s="98" t="s">
        <v>10</v>
      </c>
      <c r="B72" s="5">
        <f t="shared" si="1"/>
        <v>463.248</v>
      </c>
      <c r="C72" s="17">
        <f>'январь факт'!C72+'февраль факт'!C72+'март факт'!C72+'апрель факт'!C72+'май факт'!C72+'июнь факт'!C72</f>
        <v>0</v>
      </c>
      <c r="D72" s="17">
        <f>'январь факт'!D72+'февраль факт'!D72+'март факт'!D72+'апрель факт'!D72+'май факт'!D72+'июнь факт'!D72</f>
        <v>0</v>
      </c>
      <c r="E72" s="17">
        <f>'январь факт'!E72+'февраль факт'!E72+'март факт'!E72+'апрель факт'!E72+'май факт'!E72+'июнь факт'!E72</f>
        <v>0</v>
      </c>
      <c r="F72" s="18">
        <f>'январь факт'!F72+'февраль факт'!F72+'март факт'!F72+'апрель факт'!F72+'май факт'!F72+'июнь факт'!F72</f>
        <v>463.248</v>
      </c>
      <c r="G72" s="3"/>
      <c r="H72" s="142"/>
      <c r="I72" s="25"/>
      <c r="J72" s="135"/>
      <c r="K72" s="25"/>
      <c r="L72" s="25"/>
      <c r="M72" s="156"/>
      <c r="N72" s="139"/>
    </row>
    <row r="73" spans="1:14" ht="23.25">
      <c r="A73" s="98" t="s">
        <v>11</v>
      </c>
      <c r="B73" s="5">
        <f t="shared" si="1"/>
        <v>463.248</v>
      </c>
      <c r="C73" s="17">
        <f>'январь факт'!C73+'февраль факт'!C73+'март факт'!C73+'апрель факт'!C73+'май факт'!C73+'июнь факт'!C73</f>
        <v>0</v>
      </c>
      <c r="D73" s="17">
        <f>'январь факт'!D73+'февраль факт'!D73+'март факт'!D73+'апрель факт'!D73+'май факт'!D73+'июнь факт'!D73</f>
        <v>0</v>
      </c>
      <c r="E73" s="17">
        <f>'январь факт'!E73+'февраль факт'!E73+'март факт'!E73+'апрель факт'!E73+'май факт'!E73+'июнь факт'!E73</f>
        <v>0</v>
      </c>
      <c r="F73" s="18">
        <f>'январь факт'!F73+'февраль факт'!F73+'март факт'!F73+'апрель факт'!F73+'май факт'!F73+'июнь факт'!F73</f>
        <v>463.248</v>
      </c>
      <c r="G73" s="3"/>
      <c r="H73" s="142"/>
      <c r="I73" s="25"/>
      <c r="J73" s="135"/>
      <c r="K73" s="25"/>
      <c r="L73" s="25"/>
      <c r="M73" s="25"/>
      <c r="N73" s="139"/>
    </row>
    <row r="74" spans="1:14" ht="23.25">
      <c r="A74" s="98" t="s">
        <v>12</v>
      </c>
      <c r="B74" s="5">
        <f t="shared" si="1"/>
        <v>0</v>
      </c>
      <c r="C74" s="17">
        <f>'январь факт'!C74+'февраль факт'!C74+'март факт'!C74+'апрель факт'!C74+'май факт'!C74+'июнь факт'!C74</f>
        <v>0</v>
      </c>
      <c r="D74" s="17">
        <f>'январь факт'!D74+'февраль факт'!D74+'март факт'!D74+'апрель факт'!D74+'май факт'!D74+'июнь факт'!D74</f>
        <v>0</v>
      </c>
      <c r="E74" s="17">
        <f>'январь факт'!E74+'февраль факт'!E74+'март факт'!E74+'апрель факт'!E74+'май факт'!E74+'июнь факт'!E74</f>
        <v>0</v>
      </c>
      <c r="F74" s="18">
        <f>'январь факт'!F74+'февраль факт'!F74+'март факт'!F74+'апрель факт'!F74+'май факт'!F74+'июнь факт'!F74</f>
        <v>0</v>
      </c>
      <c r="G74" s="3"/>
      <c r="H74" s="142"/>
      <c r="I74" s="25"/>
      <c r="J74" s="135"/>
      <c r="K74" s="25"/>
      <c r="L74" s="34"/>
      <c r="M74" s="34"/>
      <c r="N74" s="139"/>
    </row>
    <row r="75" spans="1:14" ht="36">
      <c r="A75" s="110" t="s">
        <v>42</v>
      </c>
      <c r="B75" s="5">
        <f t="shared" si="1"/>
        <v>1462.763</v>
      </c>
      <c r="C75" s="17">
        <f>'январь факт'!C75+'февраль факт'!C75+'март факт'!C75+'апрель факт'!C75+'май факт'!C75+'июнь факт'!C75</f>
        <v>0</v>
      </c>
      <c r="D75" s="17">
        <f>'январь факт'!D75+'февраль факт'!D75+'март факт'!D75+'апрель факт'!D75+'май факт'!D75+'июнь факт'!D75</f>
        <v>0</v>
      </c>
      <c r="E75" s="17">
        <f>'январь факт'!E75+'февраль факт'!E75+'март факт'!E75+'апрель факт'!E75+'май факт'!E75+'июнь факт'!E75</f>
        <v>100.705</v>
      </c>
      <c r="F75" s="18">
        <f>'январь факт'!F75+'февраль факт'!F75+'март факт'!F75+'апрель факт'!F75+'май факт'!F75+'июнь факт'!F75</f>
        <v>1362.058</v>
      </c>
      <c r="G75" s="3"/>
      <c r="H75" s="142"/>
      <c r="I75" s="25"/>
      <c r="J75" s="135"/>
      <c r="K75" s="25"/>
      <c r="L75" s="34"/>
      <c r="M75" s="34"/>
      <c r="N75" s="139"/>
    </row>
    <row r="76" spans="1:14" ht="23.25">
      <c r="A76" s="98" t="s">
        <v>13</v>
      </c>
      <c r="B76" s="5">
        <f t="shared" si="1"/>
        <v>435.31199999999995</v>
      </c>
      <c r="C76" s="17">
        <f>'январь факт'!C76+'февраль факт'!C76+'март факт'!C76+'апрель факт'!C76+'май факт'!C76+'июнь факт'!C76</f>
        <v>0</v>
      </c>
      <c r="D76" s="17">
        <f>'январь факт'!D76+'февраль факт'!D76+'март факт'!D76+'апрель факт'!D76+'май факт'!D76+'июнь факт'!D76</f>
        <v>0</v>
      </c>
      <c r="E76" s="17">
        <f>'январь факт'!E76+'февраль факт'!E76+'март факт'!E76+'апрель факт'!E76+'май факт'!E76+'июнь факт'!E76</f>
        <v>100.705</v>
      </c>
      <c r="F76" s="18">
        <f>'январь факт'!F76+'февраль факт'!F76+'март факт'!F76+'апрель факт'!F76+'май факт'!F76+'июнь факт'!F76</f>
        <v>334.60699999999997</v>
      </c>
      <c r="G76" s="3"/>
      <c r="H76" s="141"/>
      <c r="I76" s="25"/>
      <c r="J76" s="135"/>
      <c r="K76" s="25"/>
      <c r="L76" s="25"/>
      <c r="M76" s="25"/>
      <c r="N76" s="139"/>
    </row>
    <row r="77" spans="1:14" ht="23.25">
      <c r="A77" s="98" t="s">
        <v>10</v>
      </c>
      <c r="B77" s="5">
        <f t="shared" si="1"/>
        <v>1027.4509999999998</v>
      </c>
      <c r="C77" s="17">
        <f>'январь факт'!C77+'февраль факт'!C77+'март факт'!C77+'апрель факт'!C77+'май факт'!C77+'июнь факт'!C77</f>
        <v>0</v>
      </c>
      <c r="D77" s="17">
        <f>'январь факт'!D77+'февраль факт'!D77+'март факт'!D77+'апрель факт'!D77+'май факт'!D77+'июнь факт'!D77</f>
        <v>0</v>
      </c>
      <c r="E77" s="17">
        <f>'январь факт'!E77+'февраль факт'!E77+'март факт'!E77+'апрель факт'!E77+'май факт'!E77+'июнь факт'!E77</f>
        <v>0</v>
      </c>
      <c r="F77" s="18">
        <f>'январь факт'!F77+'февраль факт'!F77+'март факт'!F77+'апрель факт'!F77+'май факт'!F77+'июнь факт'!F77</f>
        <v>1027.4509999999998</v>
      </c>
      <c r="G77" s="3"/>
      <c r="H77" s="142"/>
      <c r="I77" s="25"/>
      <c r="J77" s="135"/>
      <c r="K77" s="25"/>
      <c r="L77" s="156"/>
      <c r="M77" s="35"/>
      <c r="N77" s="139"/>
    </row>
    <row r="78" spans="1:14" ht="23.25">
      <c r="A78" s="98" t="s">
        <v>11</v>
      </c>
      <c r="B78" s="5">
        <f t="shared" si="1"/>
        <v>0</v>
      </c>
      <c r="C78" s="17">
        <f>'январь факт'!C78+'февраль факт'!C78+'март факт'!C78+'апрель факт'!C78+'май факт'!C78+'июнь факт'!C78</f>
        <v>0</v>
      </c>
      <c r="D78" s="17">
        <f>'январь факт'!D78+'февраль факт'!D78+'март факт'!D78+'апрель факт'!D78+'май факт'!D78+'июнь факт'!D78</f>
        <v>0</v>
      </c>
      <c r="E78" s="17">
        <f>'январь факт'!E78+'февраль факт'!E78+'март факт'!E78+'апрель факт'!E78+'май факт'!E78+'июнь факт'!E78</f>
        <v>0</v>
      </c>
      <c r="F78" s="18">
        <f>'январь факт'!F78+'февраль факт'!F78+'март факт'!F78+'апрель факт'!F78+'май факт'!F78+'июнь факт'!F78</f>
        <v>0</v>
      </c>
      <c r="G78" s="3"/>
      <c r="H78" s="142"/>
      <c r="I78" s="25"/>
      <c r="J78" s="135"/>
      <c r="K78" s="25"/>
      <c r="L78" s="25"/>
      <c r="M78" s="25"/>
      <c r="N78" s="139"/>
    </row>
    <row r="79" spans="1:14" ht="23.25">
      <c r="A79" s="98" t="s">
        <v>12</v>
      </c>
      <c r="B79" s="5">
        <f t="shared" si="1"/>
        <v>1027.4509999999998</v>
      </c>
      <c r="C79" s="17">
        <f>'январь факт'!C79+'февраль факт'!C79+'март факт'!C79+'апрель факт'!C79+'май факт'!C79+'июнь факт'!C79</f>
        <v>0</v>
      </c>
      <c r="D79" s="17">
        <f>'январь факт'!D79+'февраль факт'!D79+'март факт'!D79+'апрель факт'!D79+'май факт'!D79+'июнь факт'!D79</f>
        <v>0</v>
      </c>
      <c r="E79" s="17">
        <f>'январь факт'!E79+'февраль факт'!E79+'март факт'!E79+'апрель факт'!E79+'май факт'!E79+'июнь факт'!E79</f>
        <v>0</v>
      </c>
      <c r="F79" s="18">
        <f>'январь факт'!F79+'февраль факт'!F79+'март факт'!F79+'апрель факт'!F79+'май факт'!F79+'июнь факт'!F79</f>
        <v>1027.4509999999998</v>
      </c>
      <c r="G79" s="3"/>
      <c r="H79" s="142"/>
      <c r="I79" s="25"/>
      <c r="J79" s="135"/>
      <c r="K79" s="25"/>
      <c r="L79" s="25"/>
      <c r="M79" s="25"/>
      <c r="N79" s="139"/>
    </row>
    <row r="80" spans="1:14" ht="23.25">
      <c r="A80" s="110" t="s">
        <v>21</v>
      </c>
      <c r="B80" s="5">
        <f t="shared" si="1"/>
        <v>2196.6330000000003</v>
      </c>
      <c r="C80" s="17">
        <f>'январь факт'!C80+'февраль факт'!C80+'март факт'!C80+'апрель факт'!C80+'май факт'!C80+'июнь факт'!C80</f>
        <v>0</v>
      </c>
      <c r="D80" s="17">
        <f>'январь факт'!D80+'февраль факт'!D80+'март факт'!D80+'апрель факт'!D80+'май факт'!D80+'июнь факт'!D80</f>
        <v>0</v>
      </c>
      <c r="E80" s="17">
        <f>'январь факт'!E80+'февраль факт'!E80+'март факт'!E80+'апрель факт'!E80+'май факт'!E80+'июнь факт'!E80</f>
        <v>2196.6330000000003</v>
      </c>
      <c r="F80" s="18">
        <f>'январь факт'!F80+'февраль факт'!F80+'март факт'!F80+'апрель факт'!F80+'май факт'!F80+'июнь факт'!F80</f>
        <v>0</v>
      </c>
      <c r="G80" s="3"/>
      <c r="H80" s="142"/>
      <c r="I80" s="25"/>
      <c r="J80" s="135"/>
      <c r="K80" s="25"/>
      <c r="L80" s="25"/>
      <c r="M80" s="25"/>
      <c r="N80" s="139"/>
    </row>
    <row r="81" spans="1:14" ht="23.25">
      <c r="A81" s="98" t="s">
        <v>13</v>
      </c>
      <c r="B81" s="5">
        <f t="shared" si="1"/>
        <v>2196.6330000000003</v>
      </c>
      <c r="C81" s="17">
        <f>'январь факт'!C81+'февраль факт'!C81+'март факт'!C81+'апрель факт'!C81+'май факт'!C81+'июнь факт'!C81</f>
        <v>0</v>
      </c>
      <c r="D81" s="17">
        <f>'январь факт'!D81+'февраль факт'!D81+'март факт'!D81+'апрель факт'!D81+'май факт'!D81+'июнь факт'!D81</f>
        <v>0</v>
      </c>
      <c r="E81" s="17">
        <f>'январь факт'!E81+'февраль факт'!E81+'март факт'!E81+'апрель факт'!E81+'май факт'!E81+'июнь факт'!E81</f>
        <v>2196.6330000000003</v>
      </c>
      <c r="F81" s="18">
        <f>'январь факт'!F81+'февраль факт'!F81+'март факт'!F81+'апрель факт'!F81+'май факт'!F81+'июнь факт'!F81</f>
        <v>0</v>
      </c>
      <c r="G81" s="3"/>
      <c r="H81" s="141"/>
      <c r="I81" s="25"/>
      <c r="J81" s="25"/>
      <c r="K81" s="25"/>
      <c r="L81" s="25"/>
      <c r="M81" s="25"/>
      <c r="N81" s="139"/>
    </row>
    <row r="82" spans="1:14" ht="23.25">
      <c r="A82" s="98" t="s">
        <v>10</v>
      </c>
      <c r="B82" s="5">
        <f t="shared" si="1"/>
        <v>0</v>
      </c>
      <c r="C82" s="17">
        <f>'январь факт'!C82+'февраль факт'!C82+'март факт'!C82+'апрель факт'!C82+'май факт'!C82+'июнь факт'!C82</f>
        <v>0</v>
      </c>
      <c r="D82" s="17">
        <f>'январь факт'!D82+'февраль факт'!D82+'март факт'!D82+'апрель факт'!D82+'май факт'!D82+'июнь факт'!D82</f>
        <v>0</v>
      </c>
      <c r="E82" s="17">
        <f>'январь факт'!E82+'февраль факт'!E82+'март факт'!E82+'апрель факт'!E82+'май факт'!E82+'июнь факт'!E82</f>
        <v>0</v>
      </c>
      <c r="F82" s="18">
        <f>'январь факт'!F82+'февраль факт'!F82+'март факт'!F82+'апрель факт'!F82+'май факт'!F82+'июнь факт'!F82</f>
        <v>0</v>
      </c>
      <c r="G82" s="3"/>
      <c r="H82" s="142"/>
      <c r="I82" s="25"/>
      <c r="J82" s="145"/>
      <c r="K82" s="145"/>
      <c r="L82" s="145"/>
      <c r="M82" s="145"/>
      <c r="N82" s="139"/>
    </row>
    <row r="83" spans="1:14" ht="23.25">
      <c r="A83" s="98" t="s">
        <v>11</v>
      </c>
      <c r="B83" s="5">
        <f t="shared" si="1"/>
        <v>0</v>
      </c>
      <c r="C83" s="17">
        <f>'январь факт'!C83+'февраль факт'!C83+'март факт'!C83+'апрель факт'!C83+'май факт'!C83+'июнь факт'!C83</f>
        <v>0</v>
      </c>
      <c r="D83" s="17">
        <f>'январь факт'!D83+'февраль факт'!D83+'март факт'!D83+'апрель факт'!D83+'май факт'!D83+'июнь факт'!D83</f>
        <v>0</v>
      </c>
      <c r="E83" s="17">
        <f>'январь факт'!E83+'февраль факт'!E83+'март факт'!E83+'апрель факт'!E83+'май факт'!E83+'июнь факт'!E83</f>
        <v>0</v>
      </c>
      <c r="F83" s="18">
        <f>'январь факт'!F83+'февраль факт'!F83+'март факт'!F83+'апрель факт'!F83+'май факт'!F83+'июнь факт'!F83</f>
        <v>0</v>
      </c>
      <c r="G83" s="3"/>
      <c r="H83" s="142"/>
      <c r="I83" s="25"/>
      <c r="J83" s="135"/>
      <c r="K83" s="25"/>
      <c r="L83" s="25"/>
      <c r="M83" s="25"/>
      <c r="N83" s="139"/>
    </row>
    <row r="84" spans="1:14" ht="23.25">
      <c r="A84" s="98" t="s">
        <v>12</v>
      </c>
      <c r="B84" s="5">
        <f t="shared" si="1"/>
        <v>0</v>
      </c>
      <c r="C84" s="17">
        <f>'январь факт'!C84+'февраль факт'!C84+'март факт'!C84+'апрель факт'!C84+'май факт'!C84+'июнь факт'!C84</f>
        <v>0</v>
      </c>
      <c r="D84" s="17">
        <f>'январь факт'!D84+'февраль факт'!D84+'март факт'!D84+'апрель факт'!D84+'май факт'!D84+'июнь факт'!D84</f>
        <v>0</v>
      </c>
      <c r="E84" s="17">
        <f>'январь факт'!E84+'февраль факт'!E84+'март факт'!E84+'апрель факт'!E84+'май факт'!E84+'июнь факт'!E84</f>
        <v>0</v>
      </c>
      <c r="F84" s="18">
        <f>'январь факт'!F84+'февраль факт'!F84+'март факт'!F84+'апрель факт'!F84+'май факт'!F84+'июнь факт'!F84</f>
        <v>0</v>
      </c>
      <c r="G84" s="3"/>
      <c r="H84" s="142"/>
      <c r="I84" s="25"/>
      <c r="J84" s="135"/>
      <c r="K84" s="25"/>
      <c r="L84" s="34"/>
      <c r="M84" s="34"/>
      <c r="N84" s="139"/>
    </row>
    <row r="85" spans="1:14" ht="36">
      <c r="A85" s="110" t="s">
        <v>22</v>
      </c>
      <c r="B85" s="5">
        <f t="shared" si="1"/>
        <v>3109.282</v>
      </c>
      <c r="C85" s="17">
        <f>'январь факт'!C85+'февраль факт'!C85+'март факт'!C85+'апрель факт'!C85+'май факт'!C85+'июнь факт'!C85</f>
        <v>0</v>
      </c>
      <c r="D85" s="17">
        <f>'январь факт'!D85+'февраль факт'!D85+'март факт'!D85+'апрель факт'!D85+'май факт'!D85+'июнь факт'!D85</f>
        <v>0</v>
      </c>
      <c r="E85" s="17">
        <f>'январь факт'!E85+'февраль факт'!E85+'март факт'!E85+'апрель факт'!E85+'май факт'!E85+'июнь факт'!E85</f>
        <v>3109.282</v>
      </c>
      <c r="F85" s="18">
        <f>'январь факт'!F85+'февраль факт'!F85+'март факт'!F85+'апрель факт'!F85+'май факт'!F85+'июнь факт'!F85</f>
        <v>0</v>
      </c>
      <c r="G85" s="3"/>
      <c r="H85" s="142"/>
      <c r="I85" s="25"/>
      <c r="J85" s="135"/>
      <c r="K85" s="25"/>
      <c r="L85" s="34"/>
      <c r="M85" s="34"/>
      <c r="N85" s="139"/>
    </row>
    <row r="86" spans="1:14" ht="23.25">
      <c r="A86" s="98" t="s">
        <v>13</v>
      </c>
      <c r="B86" s="5">
        <f t="shared" si="1"/>
        <v>3109.282</v>
      </c>
      <c r="C86" s="17">
        <f>'январь факт'!C86+'февраль факт'!C86+'март факт'!C86+'апрель факт'!C86+'май факт'!C86+'июнь факт'!C86</f>
        <v>0</v>
      </c>
      <c r="D86" s="17">
        <f>'январь факт'!D86+'февраль факт'!D86+'март факт'!D86+'апрель факт'!D86+'май факт'!D86+'июнь факт'!D86</f>
        <v>0</v>
      </c>
      <c r="E86" s="17">
        <f>'январь факт'!E86+'февраль факт'!E86+'март факт'!E86+'апрель факт'!E86+'май факт'!E86+'июнь факт'!E86</f>
        <v>3109.282</v>
      </c>
      <c r="F86" s="18">
        <f>'январь факт'!F86+'февраль факт'!F86+'март факт'!F86+'апрель факт'!F86+'май факт'!F86+'июнь факт'!F86</f>
        <v>0</v>
      </c>
      <c r="G86" s="3"/>
      <c r="H86" s="141"/>
      <c r="I86" s="25"/>
      <c r="J86" s="135"/>
      <c r="K86" s="25"/>
      <c r="L86" s="25"/>
      <c r="M86" s="25"/>
      <c r="N86" s="139"/>
    </row>
    <row r="87" spans="1:14" ht="23.25">
      <c r="A87" s="98" t="s">
        <v>10</v>
      </c>
      <c r="B87" s="5">
        <f t="shared" si="1"/>
        <v>0</v>
      </c>
      <c r="C87" s="17">
        <f>'январь факт'!C87+'февраль факт'!C87+'март факт'!C87+'апрель факт'!C87+'май факт'!C87+'июнь факт'!C87</f>
        <v>0</v>
      </c>
      <c r="D87" s="17">
        <f>'январь факт'!D87+'февраль факт'!D87+'март факт'!D87+'апрель факт'!D87+'май факт'!D87+'июнь факт'!D87</f>
        <v>0</v>
      </c>
      <c r="E87" s="17">
        <f>'январь факт'!E87+'февраль факт'!E87+'март факт'!E87+'апрель факт'!E87+'май факт'!E87+'июнь факт'!E87</f>
        <v>0</v>
      </c>
      <c r="F87" s="18">
        <f>'январь факт'!F87+'февраль факт'!F87+'март факт'!F87+'апрель факт'!F87+'май факт'!F87+'июнь факт'!F87</f>
        <v>0</v>
      </c>
      <c r="G87" s="3"/>
      <c r="H87" s="142"/>
      <c r="I87" s="25"/>
      <c r="J87" s="135"/>
      <c r="K87" s="25"/>
      <c r="L87" s="25"/>
      <c r="M87" s="156"/>
      <c r="N87" s="139"/>
    </row>
    <row r="88" spans="1:14" ht="23.25">
      <c r="A88" s="98" t="s">
        <v>11</v>
      </c>
      <c r="B88" s="5">
        <f t="shared" si="1"/>
        <v>0</v>
      </c>
      <c r="C88" s="17">
        <f>'январь факт'!C88+'февраль факт'!C88+'март факт'!C88+'апрель факт'!C88+'май факт'!C88+'июнь факт'!C88</f>
        <v>0</v>
      </c>
      <c r="D88" s="17">
        <f>'январь факт'!D88+'февраль факт'!D88+'март факт'!D88+'апрель факт'!D88+'май факт'!D88+'июнь факт'!D88</f>
        <v>0</v>
      </c>
      <c r="E88" s="17">
        <f>'январь факт'!E88+'февраль факт'!E88+'март факт'!E88+'апрель факт'!E88+'май факт'!E88+'июнь факт'!E88</f>
        <v>0</v>
      </c>
      <c r="F88" s="18">
        <f>'январь факт'!F88+'февраль факт'!F88+'март факт'!F88+'апрель факт'!F88+'май факт'!F88+'июнь факт'!F88</f>
        <v>0</v>
      </c>
      <c r="G88" s="3"/>
      <c r="H88" s="142"/>
      <c r="I88" s="25"/>
      <c r="J88" s="135"/>
      <c r="K88" s="25"/>
      <c r="L88" s="25"/>
      <c r="M88" s="25"/>
      <c r="N88" s="139"/>
    </row>
    <row r="89" spans="1:14" ht="23.25">
      <c r="A89" s="98" t="s">
        <v>12</v>
      </c>
      <c r="B89" s="5">
        <f t="shared" si="1"/>
        <v>0</v>
      </c>
      <c r="C89" s="17">
        <f>'январь факт'!C89+'февраль факт'!C89+'март факт'!C89+'апрель факт'!C89+'май факт'!C89+'июнь факт'!C89</f>
        <v>0</v>
      </c>
      <c r="D89" s="17">
        <f>'январь факт'!D89+'февраль факт'!D89+'март факт'!D89+'апрель факт'!D89+'май факт'!D89+'июнь факт'!D89</f>
        <v>0</v>
      </c>
      <c r="E89" s="17">
        <f>'январь факт'!E89+'февраль факт'!E89+'март факт'!E89+'апрель факт'!E89+'май факт'!E89+'июнь факт'!E89</f>
        <v>0</v>
      </c>
      <c r="F89" s="18">
        <f>'январь факт'!F89+'февраль факт'!F89+'март факт'!F89+'апрель факт'!F89+'май факт'!F89+'июнь факт'!F89</f>
        <v>0</v>
      </c>
      <c r="G89" s="3"/>
      <c r="H89" s="142"/>
      <c r="I89" s="25"/>
      <c r="J89" s="135"/>
      <c r="K89" s="25"/>
      <c r="L89" s="34"/>
      <c r="M89" s="34"/>
      <c r="N89" s="139"/>
    </row>
    <row r="90" spans="1:14" ht="23.25">
      <c r="A90" s="110" t="s">
        <v>49</v>
      </c>
      <c r="B90" s="5">
        <f t="shared" si="1"/>
        <v>0</v>
      </c>
      <c r="C90" s="17">
        <f>'январь факт'!C90+'февраль факт'!C90+'март факт'!C90+'апрель факт'!C90+'май факт'!C90+'июнь факт'!C90</f>
        <v>0</v>
      </c>
      <c r="D90" s="17">
        <f>'январь факт'!D90+'февраль факт'!D90+'март факт'!D90+'апрель факт'!D90+'май факт'!D90+'июнь факт'!D90</f>
        <v>0</v>
      </c>
      <c r="E90" s="17">
        <f>'январь факт'!E90+'февраль факт'!E90+'март факт'!E90+'апрель факт'!E90+'май факт'!E90+'июнь факт'!E90</f>
        <v>0</v>
      </c>
      <c r="F90" s="18">
        <f>'январь факт'!F90+'февраль факт'!F90+'март факт'!F90+'апрель факт'!F90+'май факт'!F90+'июнь факт'!F90</f>
        <v>0</v>
      </c>
      <c r="G90" s="3"/>
      <c r="H90" s="142"/>
      <c r="I90" s="25"/>
      <c r="J90" s="135"/>
      <c r="K90" s="25"/>
      <c r="L90" s="34"/>
      <c r="M90" s="34"/>
      <c r="N90" s="139"/>
    </row>
    <row r="91" spans="1:14" ht="23.25">
      <c r="A91" s="98" t="s">
        <v>13</v>
      </c>
      <c r="B91" s="5">
        <f t="shared" si="1"/>
        <v>0</v>
      </c>
      <c r="C91" s="17">
        <f>'январь факт'!C91+'февраль факт'!C91+'март факт'!C91+'апрель факт'!C91+'май факт'!C91+'июнь факт'!C91</f>
        <v>0</v>
      </c>
      <c r="D91" s="17">
        <f>'январь факт'!D91+'февраль факт'!D91+'март факт'!D91+'апрель факт'!D91+'май факт'!D91+'июнь факт'!D91</f>
        <v>0</v>
      </c>
      <c r="E91" s="17">
        <f>'январь факт'!E91+'февраль факт'!E91+'март факт'!E91+'апрель факт'!E91+'май факт'!E91+'июнь факт'!E91</f>
        <v>0</v>
      </c>
      <c r="F91" s="18">
        <f>'январь факт'!F91+'февраль факт'!F91+'март факт'!F91+'апрель факт'!F91+'май факт'!F91+'июнь факт'!F91</f>
        <v>0</v>
      </c>
      <c r="G91" s="3"/>
      <c r="H91" s="141"/>
      <c r="I91" s="25"/>
      <c r="J91" s="135"/>
      <c r="K91" s="25"/>
      <c r="L91" s="25"/>
      <c r="M91" s="25"/>
      <c r="N91" s="139"/>
    </row>
    <row r="92" spans="1:14" ht="23.25">
      <c r="A92" s="98" t="s">
        <v>10</v>
      </c>
      <c r="B92" s="5">
        <f t="shared" si="1"/>
        <v>0</v>
      </c>
      <c r="C92" s="17">
        <f>'январь факт'!C92+'февраль факт'!C92+'март факт'!C92+'апрель факт'!C92+'май факт'!C92+'июнь факт'!C92</f>
        <v>0</v>
      </c>
      <c r="D92" s="17">
        <f>'январь факт'!D92+'февраль факт'!D92+'март факт'!D92+'апрель факт'!D92+'май факт'!D92+'июнь факт'!D92</f>
        <v>0</v>
      </c>
      <c r="E92" s="17">
        <f>'январь факт'!E92+'февраль факт'!E92+'март факт'!E92+'апрель факт'!E92+'май факт'!E92+'июнь факт'!E92</f>
        <v>0</v>
      </c>
      <c r="F92" s="18">
        <f>'январь факт'!F92+'февраль факт'!F92+'март факт'!F92+'апрель факт'!F92+'май факт'!F92+'июнь факт'!F92</f>
        <v>0</v>
      </c>
      <c r="G92" s="3"/>
      <c r="H92" s="142"/>
      <c r="I92" s="25"/>
      <c r="J92" s="135"/>
      <c r="K92" s="25"/>
      <c r="L92" s="25"/>
      <c r="M92" s="156"/>
      <c r="N92" s="139"/>
    </row>
    <row r="93" spans="1:14" ht="23.25">
      <c r="A93" s="98" t="s">
        <v>11</v>
      </c>
      <c r="B93" s="5">
        <f t="shared" si="1"/>
        <v>0</v>
      </c>
      <c r="C93" s="17">
        <f>'январь факт'!C93+'февраль факт'!C93+'март факт'!C93+'апрель факт'!C93+'май факт'!C93+'июнь факт'!C93</f>
        <v>0</v>
      </c>
      <c r="D93" s="17">
        <f>'январь факт'!D93+'февраль факт'!D93+'март факт'!D93+'апрель факт'!D93+'май факт'!D93+'июнь факт'!D93</f>
        <v>0</v>
      </c>
      <c r="E93" s="17">
        <f>'январь факт'!E93+'февраль факт'!E93+'март факт'!E93+'апрель факт'!E93+'май факт'!E93+'июнь факт'!E93</f>
        <v>0</v>
      </c>
      <c r="F93" s="18">
        <f>'январь факт'!F93+'февраль факт'!F93+'март факт'!F93+'апрель факт'!F93+'май факт'!F93+'июнь факт'!F93</f>
        <v>0</v>
      </c>
      <c r="G93" s="3"/>
      <c r="H93" s="142"/>
      <c r="I93" s="25"/>
      <c r="J93" s="135"/>
      <c r="K93" s="25"/>
      <c r="L93" s="25"/>
      <c r="M93" s="25"/>
      <c r="N93" s="139"/>
    </row>
    <row r="94" spans="1:14" ht="23.25">
      <c r="A94" s="98" t="s">
        <v>12</v>
      </c>
      <c r="B94" s="5">
        <f t="shared" si="1"/>
        <v>0</v>
      </c>
      <c r="C94" s="17">
        <f>'январь факт'!C94+'февраль факт'!C94+'март факт'!C94+'апрель факт'!C94+'май факт'!C94+'июнь факт'!C94</f>
        <v>0</v>
      </c>
      <c r="D94" s="17">
        <f>'январь факт'!D94+'февраль факт'!D94+'март факт'!D94+'апрель факт'!D94+'май факт'!D94+'июнь факт'!D94</f>
        <v>0</v>
      </c>
      <c r="E94" s="17">
        <f>'январь факт'!E94+'февраль факт'!E94+'март факт'!E94+'апрель факт'!E94+'май факт'!E94+'июнь факт'!E94</f>
        <v>0</v>
      </c>
      <c r="F94" s="18">
        <f>'январь факт'!F94+'февраль факт'!F94+'март факт'!F94+'апрель факт'!F94+'май факт'!F94+'июнь факт'!F94</f>
        <v>0</v>
      </c>
      <c r="G94" s="3"/>
      <c r="H94" s="142"/>
      <c r="I94" s="25"/>
      <c r="J94" s="135"/>
      <c r="K94" s="25"/>
      <c r="L94" s="25"/>
      <c r="M94" s="25"/>
      <c r="N94" s="139"/>
    </row>
    <row r="95" spans="1:14" ht="23.25">
      <c r="A95" s="110" t="s">
        <v>70</v>
      </c>
      <c r="B95" s="5">
        <f>C95+D95+E95+F95</f>
        <v>47.608000000000004</v>
      </c>
      <c r="C95" s="17">
        <f>'январь факт'!C90+'февраль факт'!C90+'март факт'!C90+'апрель факт'!C90+'май факт'!C95+'июнь факт'!C95</f>
        <v>0</v>
      </c>
      <c r="D95" s="17">
        <f>'январь факт'!D90+'февраль факт'!D90+'март факт'!D90+'апрель факт'!D90+'май факт'!D95+'июнь факт'!D95</f>
        <v>0</v>
      </c>
      <c r="E95" s="17">
        <f>'январь факт'!E90+'февраль факт'!E90+'март факт'!E90+'апрель факт'!E90+'май факт'!E95+'июнь факт'!E95</f>
        <v>47.608000000000004</v>
      </c>
      <c r="F95" s="18">
        <f>'январь факт'!F90+'февраль факт'!F90+'март факт'!F90+'апрель факт'!F90+'май факт'!F95+'июнь факт'!F95</f>
        <v>0</v>
      </c>
      <c r="G95" s="3"/>
      <c r="H95" s="142"/>
      <c r="I95" s="25"/>
      <c r="J95" s="135"/>
      <c r="K95" s="25"/>
      <c r="L95" s="25"/>
      <c r="M95" s="25"/>
      <c r="N95" s="139"/>
    </row>
    <row r="96" spans="1:14" ht="23.25">
      <c r="A96" s="98" t="s">
        <v>13</v>
      </c>
      <c r="B96" s="5">
        <f>C96+D96+E96+F96</f>
        <v>47.608000000000004</v>
      </c>
      <c r="C96" s="17">
        <f>'январь факт'!C91+'февраль факт'!C91+'март факт'!C91+'апрель факт'!C91+'май факт'!C96+'июнь факт'!C96</f>
        <v>0</v>
      </c>
      <c r="D96" s="17">
        <f>'январь факт'!D91+'февраль факт'!D91+'март факт'!D91+'апрель факт'!D91+'май факт'!D96+'июнь факт'!D96</f>
        <v>0</v>
      </c>
      <c r="E96" s="17">
        <f>'январь факт'!E91+'февраль факт'!E91+'март факт'!E91+'апрель факт'!E91+'май факт'!E96+'июнь факт'!E96</f>
        <v>47.608000000000004</v>
      </c>
      <c r="F96" s="18">
        <f>'январь факт'!F91+'февраль факт'!F91+'март факт'!F91+'апрель факт'!F91+'май факт'!F96+'июнь факт'!F96</f>
        <v>0</v>
      </c>
      <c r="G96" s="3"/>
      <c r="H96" s="141"/>
      <c r="I96" s="25"/>
      <c r="J96" s="35"/>
      <c r="K96" s="25"/>
      <c r="L96" s="35"/>
      <c r="M96" s="35"/>
      <c r="N96" s="139"/>
    </row>
    <row r="97" spans="1:14" ht="23.25">
      <c r="A97" s="98" t="s">
        <v>10</v>
      </c>
      <c r="B97" s="5">
        <f>C97+D97+E97+F97</f>
        <v>0</v>
      </c>
      <c r="C97" s="17">
        <f>'январь факт'!C92+'февраль факт'!C92+'март факт'!C92+'апрель факт'!C92+'май факт'!C97+'июнь факт'!C97</f>
        <v>0</v>
      </c>
      <c r="D97" s="17">
        <f>'январь факт'!D92+'февраль факт'!D92+'март факт'!D92+'апрель факт'!D92+'май факт'!D97+'июнь факт'!D97</f>
        <v>0</v>
      </c>
      <c r="E97" s="17">
        <f>'январь факт'!E92+'февраль факт'!E92+'март факт'!E92+'апрель факт'!E92+'май факт'!E97+'июнь факт'!E97</f>
        <v>0</v>
      </c>
      <c r="F97" s="18">
        <f>'январь факт'!F92+'февраль факт'!F92+'март факт'!F92+'апрель факт'!F92+'май факт'!F97+'июнь факт'!F97</f>
        <v>0</v>
      </c>
      <c r="G97" s="3"/>
      <c r="H97" s="142"/>
      <c r="I97" s="25"/>
      <c r="J97" s="25"/>
      <c r="K97" s="25"/>
      <c r="L97" s="35"/>
      <c r="M97" s="35"/>
      <c r="N97" s="139"/>
    </row>
    <row r="98" spans="1:14" ht="23.25">
      <c r="A98" s="98" t="s">
        <v>11</v>
      </c>
      <c r="B98" s="5">
        <f>C98+D98+E98+F98</f>
        <v>0</v>
      </c>
      <c r="C98" s="17">
        <f>'январь факт'!C93+'февраль факт'!C93+'март факт'!C93+'апрель факт'!C93+'май факт'!C98+'июнь факт'!C98</f>
        <v>0</v>
      </c>
      <c r="D98" s="17">
        <f>'январь факт'!D93+'февраль факт'!D93+'март факт'!D93+'апрель факт'!D93+'май факт'!D98+'июнь факт'!D98</f>
        <v>0</v>
      </c>
      <c r="E98" s="17">
        <f>'январь факт'!E93+'февраль факт'!E93+'март факт'!E93+'апрель факт'!E93+'май факт'!E98+'июнь факт'!E98</f>
        <v>0</v>
      </c>
      <c r="F98" s="18">
        <f>'январь факт'!F93+'февраль факт'!F93+'март факт'!F93+'апрель факт'!F93+'май факт'!F98+'июнь факт'!F98</f>
        <v>0</v>
      </c>
      <c r="G98" s="3"/>
      <c r="H98" s="142"/>
      <c r="I98" s="25"/>
      <c r="J98" s="25"/>
      <c r="K98" s="25"/>
      <c r="L98" s="35"/>
      <c r="M98" s="35"/>
      <c r="N98" s="139"/>
    </row>
    <row r="99" spans="1:14" ht="23.25">
      <c r="A99" s="98" t="s">
        <v>12</v>
      </c>
      <c r="B99" s="5">
        <f>C99+D99+E99+F99</f>
        <v>0</v>
      </c>
      <c r="C99" s="17">
        <f>'январь факт'!C94+'февраль факт'!C94+'март факт'!C94+'апрель факт'!C94+'май факт'!C99+'июнь факт'!C99</f>
        <v>0</v>
      </c>
      <c r="D99" s="17">
        <f>'январь факт'!D94+'февраль факт'!D94+'март факт'!D94+'апрель факт'!D94+'май факт'!D99+'июнь факт'!D99</f>
        <v>0</v>
      </c>
      <c r="E99" s="17">
        <f>'январь факт'!E94+'февраль факт'!E94+'март факт'!E94+'апрель факт'!E94+'май факт'!E99+'июнь факт'!E99</f>
        <v>0</v>
      </c>
      <c r="F99" s="18">
        <f>'январь факт'!F94+'февраль факт'!F94+'март факт'!F94+'апрель факт'!F94+'май факт'!F99+'июнь факт'!F99</f>
        <v>0</v>
      </c>
      <c r="G99" s="3"/>
      <c r="H99" s="142"/>
      <c r="I99" s="25"/>
      <c r="J99" s="25"/>
      <c r="K99" s="25"/>
      <c r="L99" s="135"/>
      <c r="M99" s="135"/>
      <c r="N99" s="139"/>
    </row>
    <row r="100" spans="1:14" ht="23.25">
      <c r="A100" s="110" t="s">
        <v>8</v>
      </c>
      <c r="B100" s="5">
        <f t="shared" si="1"/>
        <v>9842.506000000001</v>
      </c>
      <c r="C100" s="17">
        <f>'январь факт'!C95+'февраль факт'!C95+'март факт'!C95+'апрель факт'!C95+'май факт'!C100+'июнь факт'!C100</f>
        <v>0</v>
      </c>
      <c r="D100" s="17">
        <f>'январь факт'!D95+'февраль факт'!D95+'март факт'!D95+'апрель факт'!D95+'май факт'!D100+'июнь факт'!D100</f>
        <v>0</v>
      </c>
      <c r="E100" s="17">
        <f>'январь факт'!E95+'февраль факт'!E95+'март факт'!E95+'апрель факт'!E95+'май факт'!E100+'июнь факт'!E100</f>
        <v>4952.3859999999995</v>
      </c>
      <c r="F100" s="18">
        <f>'январь факт'!F95+'февраль факт'!F95+'март факт'!F95+'апрель факт'!F95+'май факт'!F100+'июнь факт'!F100</f>
        <v>4890.120000000001</v>
      </c>
      <c r="G100" s="3"/>
      <c r="H100" s="142"/>
      <c r="I100" s="25"/>
      <c r="J100" s="25"/>
      <c r="K100" s="25"/>
      <c r="L100" s="135"/>
      <c r="M100" s="135"/>
      <c r="N100" s="139"/>
    </row>
    <row r="101" spans="1:14" ht="23.25">
      <c r="A101" s="98" t="s">
        <v>13</v>
      </c>
      <c r="B101" s="5">
        <f t="shared" si="1"/>
        <v>5281.549</v>
      </c>
      <c r="C101" s="17">
        <f>'январь факт'!C96+'февраль факт'!C96+'март факт'!C96+'апрель факт'!C96+'май факт'!C101+'июнь факт'!C101</f>
        <v>0</v>
      </c>
      <c r="D101" s="17">
        <f>'январь факт'!D96+'февраль факт'!D96+'март факт'!D96+'апрель факт'!D96+'май факт'!D101+'июнь факт'!D101</f>
        <v>0</v>
      </c>
      <c r="E101" s="17">
        <f>'январь факт'!E96+'февраль факт'!E96+'март факт'!E96+'апрель факт'!E96+'май факт'!E101+'июнь факт'!E101</f>
        <v>4083.942</v>
      </c>
      <c r="F101" s="18">
        <f>'январь факт'!F96+'февраль факт'!F96+'март факт'!F96+'апрель факт'!F96+'май факт'!F101+'июнь факт'!F101</f>
        <v>1197.6070000000002</v>
      </c>
      <c r="G101" s="3"/>
      <c r="H101" s="141"/>
      <c r="I101" s="25"/>
      <c r="J101" s="35"/>
      <c r="K101" s="25"/>
      <c r="L101" s="35"/>
      <c r="M101" s="35"/>
      <c r="N101" s="139"/>
    </row>
    <row r="102" spans="1:14" ht="23.25">
      <c r="A102" s="98" t="s">
        <v>10</v>
      </c>
      <c r="B102" s="5">
        <f t="shared" si="1"/>
        <v>4560.957</v>
      </c>
      <c r="C102" s="17">
        <f>'январь факт'!C97+'февраль факт'!C97+'март факт'!C97+'апрель факт'!C97+'май факт'!C102+'июнь факт'!C102</f>
        <v>0</v>
      </c>
      <c r="D102" s="17">
        <f>'январь факт'!D97+'февраль факт'!D97+'март факт'!D97+'апрель факт'!D97+'май факт'!D102+'июнь факт'!D102</f>
        <v>0</v>
      </c>
      <c r="E102" s="17">
        <f>'январь факт'!E97+'февраль факт'!E97+'март факт'!E97+'апрель факт'!E97+'май факт'!E102+'июнь факт'!E102</f>
        <v>868.444</v>
      </c>
      <c r="F102" s="18">
        <f>'январь факт'!F97+'февраль факт'!F97+'март факт'!F97+'апрель факт'!F97+'май факт'!F102+'июнь факт'!F102</f>
        <v>3692.513</v>
      </c>
      <c r="G102" s="3"/>
      <c r="H102" s="142"/>
      <c r="I102" s="25"/>
      <c r="J102" s="35"/>
      <c r="K102" s="25"/>
      <c r="L102" s="35"/>
      <c r="M102" s="35"/>
      <c r="N102" s="139"/>
    </row>
    <row r="103" spans="1:14" ht="23.25">
      <c r="A103" s="98" t="s">
        <v>11</v>
      </c>
      <c r="B103" s="5">
        <f t="shared" si="1"/>
        <v>3883.7410000000004</v>
      </c>
      <c r="C103" s="17">
        <f>'январь факт'!C98+'февраль факт'!C98+'март факт'!C98+'апрель факт'!C98+'май факт'!C103+'июнь факт'!C103</f>
        <v>0</v>
      </c>
      <c r="D103" s="17">
        <f>'январь факт'!D98+'февраль факт'!D98+'март факт'!D98+'апрель факт'!D98+'май факт'!D103+'июнь факт'!D103</f>
        <v>0</v>
      </c>
      <c r="E103" s="17">
        <f>'январь факт'!E98+'февраль факт'!E98+'март факт'!E98+'апрель факт'!E98+'май факт'!E103+'июнь факт'!E103</f>
        <v>854.726</v>
      </c>
      <c r="F103" s="18">
        <f>'январь факт'!F98+'февраль факт'!F98+'март факт'!F98+'апрель факт'!F98+'май факт'!F103+'июнь факт'!F103</f>
        <v>3029.0150000000003</v>
      </c>
      <c r="G103" s="3"/>
      <c r="H103" s="142"/>
      <c r="I103" s="25"/>
      <c r="J103" s="25"/>
      <c r="K103" s="25"/>
      <c r="L103" s="35"/>
      <c r="M103" s="35"/>
      <c r="N103" s="139"/>
    </row>
    <row r="104" spans="1:14" ht="23.25">
      <c r="A104" s="98" t="s">
        <v>12</v>
      </c>
      <c r="B104" s="5">
        <f t="shared" si="1"/>
        <v>677.2159999999999</v>
      </c>
      <c r="C104" s="17">
        <f>'январь факт'!C99+'февраль факт'!C99+'март факт'!C99+'апрель факт'!C99+'май факт'!C104+'июнь факт'!C104</f>
        <v>0</v>
      </c>
      <c r="D104" s="17">
        <f>'январь факт'!D99+'февраль факт'!D99+'март факт'!D99+'апрель факт'!D99+'май факт'!D104+'июнь факт'!D104</f>
        <v>0</v>
      </c>
      <c r="E104" s="17">
        <f>'январь факт'!E99+'февраль факт'!E99+'март факт'!E99+'апрель факт'!E99+'май факт'!E104+'июнь факт'!E104</f>
        <v>13.718</v>
      </c>
      <c r="F104" s="18">
        <f>'январь факт'!F99+'февраль факт'!F99+'март факт'!F99+'апрель факт'!F99+'май факт'!F104+'июнь факт'!F104</f>
        <v>663.4979999999999</v>
      </c>
      <c r="G104" s="3"/>
      <c r="H104" s="142"/>
      <c r="I104" s="25"/>
      <c r="J104" s="135"/>
      <c r="K104" s="135"/>
      <c r="L104" s="135"/>
      <c r="M104" s="135"/>
      <c r="N104" s="139"/>
    </row>
    <row r="105" spans="1:14" ht="23.25">
      <c r="A105" s="110" t="s">
        <v>5</v>
      </c>
      <c r="B105" s="5">
        <f t="shared" si="1"/>
        <v>19493.483</v>
      </c>
      <c r="C105" s="17">
        <f>'январь факт'!C100+'февраль факт'!C100+'март факт'!C100+'апрель факт'!C100+'май факт'!C105+'июнь факт'!C105</f>
        <v>2099.385</v>
      </c>
      <c r="D105" s="17">
        <f>'январь факт'!D100+'февраль факт'!D100+'март факт'!D100+'апрель факт'!D100+'май факт'!D105+'июнь факт'!D105</f>
        <v>0</v>
      </c>
      <c r="E105" s="17">
        <f>'январь факт'!E100+'февраль факт'!E100+'март факт'!E100+'апрель факт'!E100+'май факт'!E105+'июнь факт'!E105</f>
        <v>12118.121000000001</v>
      </c>
      <c r="F105" s="18">
        <f>'январь факт'!F100+'февраль факт'!F100+'март факт'!F100+'апрель факт'!F100+'май факт'!F105+'июнь факт'!F105</f>
        <v>5275.976999999999</v>
      </c>
      <c r="G105" s="3"/>
      <c r="H105" s="142"/>
      <c r="I105" s="25"/>
      <c r="J105" s="135"/>
      <c r="K105" s="135"/>
      <c r="L105" s="135"/>
      <c r="M105" s="135"/>
      <c r="N105" s="139"/>
    </row>
    <row r="106" spans="1:14" ht="23.25">
      <c r="A106" s="98" t="s">
        <v>13</v>
      </c>
      <c r="B106" s="5">
        <f t="shared" si="1"/>
        <v>13059.158</v>
      </c>
      <c r="C106" s="17">
        <f>'январь факт'!C101+'февраль факт'!C101+'март факт'!C101+'апрель факт'!C101+'май факт'!C106+'июнь факт'!C106</f>
        <v>2099.385</v>
      </c>
      <c r="D106" s="17">
        <f>'январь факт'!D101+'февраль факт'!D101+'март факт'!D101+'апрель факт'!D101+'май факт'!D106+'июнь факт'!D106</f>
        <v>0</v>
      </c>
      <c r="E106" s="17">
        <f>'январь факт'!E101+'февраль факт'!E101+'март факт'!E101+'апрель факт'!E101+'май факт'!E106+'июнь факт'!E106</f>
        <v>9155.853</v>
      </c>
      <c r="F106" s="18">
        <f>'январь факт'!F101+'февраль факт'!F101+'март факт'!F101+'апрель факт'!F101+'май факт'!F106+'июнь факт'!F106</f>
        <v>1803.92</v>
      </c>
      <c r="G106" s="3"/>
      <c r="H106" s="141"/>
      <c r="I106" s="25"/>
      <c r="J106" s="35"/>
      <c r="K106" s="25"/>
      <c r="L106" s="35"/>
      <c r="M106" s="35"/>
      <c r="N106" s="139"/>
    </row>
    <row r="107" spans="1:14" ht="23.25">
      <c r="A107" s="98" t="s">
        <v>10</v>
      </c>
      <c r="B107" s="5">
        <f t="shared" si="1"/>
        <v>6434.324999999999</v>
      </c>
      <c r="C107" s="17">
        <f>'январь факт'!C102+'февраль факт'!C102+'март факт'!C102+'апрель факт'!C102+'май факт'!C107+'июнь факт'!C107</f>
        <v>0</v>
      </c>
      <c r="D107" s="17">
        <f>'январь факт'!D102+'февраль факт'!D102+'март факт'!D102+'апрель факт'!D102+'май факт'!D107+'июнь факт'!D107</f>
        <v>0</v>
      </c>
      <c r="E107" s="17">
        <f>'январь факт'!E102+'февраль факт'!E102+'март факт'!E102+'апрель факт'!E102+'май факт'!E107+'июнь факт'!E107</f>
        <v>2962.2679999999996</v>
      </c>
      <c r="F107" s="18">
        <f>'январь факт'!F102+'февраль факт'!F102+'март факт'!F102+'апрель факт'!F102+'май факт'!F107+'июнь факт'!F107</f>
        <v>3472.057</v>
      </c>
      <c r="G107" s="3"/>
      <c r="H107" s="142"/>
      <c r="I107" s="25"/>
      <c r="J107" s="25"/>
      <c r="K107" s="25"/>
      <c r="L107" s="35"/>
      <c r="M107" s="35"/>
      <c r="N107" s="139"/>
    </row>
    <row r="108" spans="1:14" ht="23.25">
      <c r="A108" s="98" t="s">
        <v>11</v>
      </c>
      <c r="B108" s="5">
        <f t="shared" si="1"/>
        <v>6370.137000000001</v>
      </c>
      <c r="C108" s="17">
        <f>'январь факт'!C103+'февраль факт'!C103+'март факт'!C103+'апрель факт'!C103+'май факт'!C108+'июнь факт'!C108</f>
        <v>0</v>
      </c>
      <c r="D108" s="17">
        <f>'январь факт'!D103+'февраль факт'!D103+'март факт'!D103+'апрель факт'!D103+'май факт'!D108+'июнь факт'!D108</f>
        <v>0</v>
      </c>
      <c r="E108" s="17">
        <f>'январь факт'!E103+'февраль факт'!E103+'март факт'!E103+'апрель факт'!E103+'май факт'!E108+'июнь факт'!E108</f>
        <v>2898.0800000000004</v>
      </c>
      <c r="F108" s="18">
        <f>'январь факт'!F103+'февраль факт'!F103+'март факт'!F103+'апрель факт'!F103+'май факт'!F108+'июнь факт'!F108</f>
        <v>3472.057</v>
      </c>
      <c r="G108" s="3"/>
      <c r="H108" s="142"/>
      <c r="I108" s="25"/>
      <c r="J108" s="25"/>
      <c r="K108" s="25"/>
      <c r="L108" s="35"/>
      <c r="M108" s="35"/>
      <c r="N108" s="139"/>
    </row>
    <row r="109" spans="1:14" ht="23.25">
      <c r="A109" s="98" t="s">
        <v>12</v>
      </c>
      <c r="B109" s="5">
        <f t="shared" si="1"/>
        <v>64.188</v>
      </c>
      <c r="C109" s="17">
        <f>'январь факт'!C104+'февраль факт'!C104+'март факт'!C104+'апрель факт'!C104+'май факт'!C109+'июнь факт'!C109</f>
        <v>0</v>
      </c>
      <c r="D109" s="17">
        <f>'январь факт'!D104+'февраль факт'!D104+'март факт'!D104+'апрель факт'!D104+'май факт'!D109+'июнь факт'!D109</f>
        <v>0</v>
      </c>
      <c r="E109" s="17">
        <f>'январь факт'!E104+'февраль факт'!E104+'март факт'!E104+'апрель факт'!E104+'май факт'!E109+'июнь факт'!E109</f>
        <v>64.188</v>
      </c>
      <c r="F109" s="18">
        <f>'январь факт'!F104+'февраль факт'!F104+'март факт'!F104+'апрель факт'!F104+'май факт'!F109+'июнь факт'!F109</f>
        <v>0</v>
      </c>
      <c r="G109" s="3"/>
      <c r="H109" s="142"/>
      <c r="I109" s="25"/>
      <c r="J109" s="34"/>
      <c r="K109" s="25"/>
      <c r="L109" s="135"/>
      <c r="M109" s="135"/>
      <c r="N109" s="139"/>
    </row>
    <row r="110" spans="1:14" ht="36">
      <c r="A110" s="110" t="s">
        <v>43</v>
      </c>
      <c r="B110" s="5">
        <f t="shared" si="1"/>
        <v>35932.023</v>
      </c>
      <c r="C110" s="17">
        <f>'январь факт'!C105+'февраль факт'!C105+'март факт'!C105+'апрель факт'!C105+'май факт'!C110+'июнь факт'!C110</f>
        <v>0</v>
      </c>
      <c r="D110" s="17">
        <f>'январь факт'!D105+'февраль факт'!D105+'март факт'!D105+'апрель факт'!D105+'май факт'!D110+'июнь факт'!D110</f>
        <v>0</v>
      </c>
      <c r="E110" s="17">
        <f>'январь факт'!E105+'февраль факт'!E105+'март факт'!E105+'апрель факт'!E105+'май факт'!E110+'июнь факт'!E110</f>
        <v>8152.812</v>
      </c>
      <c r="F110" s="18">
        <f>'январь факт'!F105+'февраль факт'!F105+'март факт'!F105+'апрель факт'!F105+'май факт'!F110+'июнь факт'!F110</f>
        <v>27779.211</v>
      </c>
      <c r="G110" s="3"/>
      <c r="H110" s="142"/>
      <c r="I110" s="25"/>
      <c r="J110" s="34"/>
      <c r="K110" s="25"/>
      <c r="L110" s="135"/>
      <c r="M110" s="135"/>
      <c r="N110" s="139"/>
    </row>
    <row r="111" spans="1:14" ht="23.25">
      <c r="A111" s="98" t="s">
        <v>13</v>
      </c>
      <c r="B111" s="5">
        <f t="shared" si="1"/>
        <v>16937.472</v>
      </c>
      <c r="C111" s="17">
        <f>'январь факт'!C106+'февраль факт'!C106+'март факт'!C106+'апрель факт'!C106+'май факт'!C111+'июнь факт'!C111</f>
        <v>0</v>
      </c>
      <c r="D111" s="17">
        <f>'январь факт'!D106+'февраль факт'!D106+'март факт'!D106+'апрель факт'!D106+'май факт'!D111+'июнь факт'!D111</f>
        <v>0</v>
      </c>
      <c r="E111" s="17">
        <f>'январь факт'!E106+'февраль факт'!E106+'март факт'!E106+'апрель факт'!E106+'май факт'!E111+'июнь факт'!E111</f>
        <v>7873.276</v>
      </c>
      <c r="F111" s="18">
        <f>'январь факт'!F106+'февраль факт'!F106+'март факт'!F106+'апрель факт'!F106+'май факт'!F111+'июнь факт'!F111</f>
        <v>9064.196</v>
      </c>
      <c r="G111" s="3"/>
      <c r="H111" s="142"/>
      <c r="I111" s="25"/>
      <c r="J111" s="35"/>
      <c r="K111" s="35"/>
      <c r="L111" s="35"/>
      <c r="M111" s="35"/>
      <c r="N111" s="139"/>
    </row>
    <row r="112" spans="1:14" ht="23.25">
      <c r="A112" s="98" t="s">
        <v>10</v>
      </c>
      <c r="B112" s="5">
        <f t="shared" si="1"/>
        <v>18994.551</v>
      </c>
      <c r="C112" s="17">
        <f>'январь факт'!C107+'февраль факт'!C107+'март факт'!C107+'апрель факт'!C107+'май факт'!C112+'июнь факт'!C112</f>
        <v>0</v>
      </c>
      <c r="D112" s="17">
        <f>'январь факт'!D107+'февраль факт'!D107+'март факт'!D107+'апрель факт'!D107+'май факт'!D112+'июнь факт'!D112</f>
        <v>0</v>
      </c>
      <c r="E112" s="17">
        <f>'январь факт'!E107+'февраль факт'!E107+'март факт'!E107+'апрель факт'!E107+'май факт'!E112+'июнь факт'!E112</f>
        <v>279.536</v>
      </c>
      <c r="F112" s="18">
        <f>'январь факт'!F107+'февраль факт'!F107+'март факт'!F107+'апрель факт'!F107+'май факт'!F112+'июнь факт'!F112</f>
        <v>18715.015</v>
      </c>
      <c r="G112" s="3"/>
      <c r="H112" s="142"/>
      <c r="I112" s="25"/>
      <c r="J112" s="35"/>
      <c r="K112" s="35"/>
      <c r="L112" s="35"/>
      <c r="M112" s="35"/>
      <c r="N112" s="139"/>
    </row>
    <row r="113" spans="1:14" ht="23.25">
      <c r="A113" s="98" t="s">
        <v>11</v>
      </c>
      <c r="B113" s="5">
        <f t="shared" si="1"/>
        <v>2237.62</v>
      </c>
      <c r="C113" s="17">
        <f>'январь факт'!C108+'февраль факт'!C108+'март факт'!C108+'апрель факт'!C108+'май факт'!C113+'июнь факт'!C113</f>
        <v>0</v>
      </c>
      <c r="D113" s="17">
        <f>'январь факт'!D108+'февраль факт'!D108+'март факт'!D108+'апрель факт'!D108+'май факт'!D113+'июнь факт'!D113</f>
        <v>0</v>
      </c>
      <c r="E113" s="17">
        <f>'январь факт'!E108+'февраль факт'!E108+'март факт'!E108+'апрель факт'!E108+'май факт'!E113+'июнь факт'!E113</f>
        <v>109.10200000000002</v>
      </c>
      <c r="F113" s="18">
        <f>'январь факт'!F108+'февраль факт'!F108+'март факт'!F108+'апрель факт'!F108+'май факт'!F113+'июнь факт'!F113</f>
        <v>2128.518</v>
      </c>
      <c r="G113" s="3"/>
      <c r="H113" s="142"/>
      <c r="I113" s="25"/>
      <c r="J113" s="35"/>
      <c r="K113" s="35"/>
      <c r="L113" s="35"/>
      <c r="M113" s="35"/>
      <c r="N113" s="139"/>
    </row>
    <row r="114" spans="1:14" ht="24" thickBot="1">
      <c r="A114" s="99" t="s">
        <v>12</v>
      </c>
      <c r="B114" s="29">
        <f t="shared" si="1"/>
        <v>16756.931</v>
      </c>
      <c r="C114" s="160">
        <f>'январь факт'!C109+'февраль факт'!C109+'март факт'!C109+'апрель факт'!C109+'май факт'!C114+'июнь факт'!C114</f>
        <v>0</v>
      </c>
      <c r="D114" s="160">
        <f>'январь факт'!D109+'февраль факт'!D109+'март факт'!D109+'апрель факт'!D109+'май факт'!D114+'июнь факт'!D114</f>
        <v>0</v>
      </c>
      <c r="E114" s="160">
        <f>'январь факт'!E109+'февраль факт'!E109+'март факт'!E109+'апрель факт'!E109+'май факт'!E114+'июнь факт'!E114</f>
        <v>170.434</v>
      </c>
      <c r="F114" s="161">
        <f>'январь факт'!F109+'февраль факт'!F109+'март факт'!F109+'апрель факт'!F109+'май факт'!F114+'июнь факт'!F114</f>
        <v>16586.497</v>
      </c>
      <c r="G114" s="3"/>
      <c r="H114" s="142"/>
      <c r="I114" s="25"/>
      <c r="J114" s="35"/>
      <c r="K114" s="35"/>
      <c r="L114" s="35"/>
      <c r="M114" s="35"/>
      <c r="N114" s="139"/>
    </row>
    <row r="115" spans="1:8" ht="18.75" thickBot="1">
      <c r="A115" s="105"/>
      <c r="B115" s="106"/>
      <c r="C115" s="106"/>
      <c r="D115" s="106"/>
      <c r="E115" s="106"/>
      <c r="F115" s="106"/>
      <c r="G115" s="3"/>
      <c r="H115" s="3"/>
    </row>
    <row r="116" spans="1:8" ht="31.5" customHeight="1" thickBot="1">
      <c r="A116" s="26" t="s">
        <v>50</v>
      </c>
      <c r="B116" s="113">
        <f>C116+D116+E116+F116</f>
        <v>713669.6349999999</v>
      </c>
      <c r="C116" s="118">
        <f>C110+C105+C100+C95+C90+C85+C80+C75+C70+C65+C60+C55+C50+C45+C40+C35+C30+C25+C20+C15+C10+C5</f>
        <v>280638.805</v>
      </c>
      <c r="D116" s="118">
        <f>D110+D105+D100+D95+D90+D85+D80+D75+D70+D65+D60+D55+D50+D45+D40+D35+D30+D25+D20+D15+D10+D5</f>
        <v>11282.764000000001</v>
      </c>
      <c r="E116" s="118">
        <f>E110+E105+E100+E95+E90+E85+E80+E75+E70+E65+E60+E55+E50+E45+E40+E35+E30+E25+E20+E15+E10+E5</f>
        <v>180375.16100000002</v>
      </c>
      <c r="F116" s="118">
        <f>F110+F105+F100+F95+F90+F85+F80+F75+F70+F65+F60+F55+F50+F45+F40+F35+F30+F25+F20+F15+F10+F5</f>
        <v>241372.90499999988</v>
      </c>
      <c r="G116" s="3"/>
      <c r="H116" s="25"/>
    </row>
  </sheetData>
  <sheetProtection/>
  <mergeCells count="2">
    <mergeCell ref="A1:F1"/>
    <mergeCell ref="A2:F2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esorrfni</dc:creator>
  <cp:keywords/>
  <dc:description/>
  <cp:lastModifiedBy>Токарева</cp:lastModifiedBy>
  <cp:lastPrinted>2011-09-13T10:21:19Z</cp:lastPrinted>
  <dcterms:created xsi:type="dcterms:W3CDTF">2007-02-15T08:39:45Z</dcterms:created>
  <dcterms:modified xsi:type="dcterms:W3CDTF">2014-01-09T06:15:53Z</dcterms:modified>
  <cp:category/>
  <cp:version/>
  <cp:contentType/>
  <cp:contentStatus/>
</cp:coreProperties>
</file>