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599" firstSheet="6" activeTab="15"/>
  </bookViews>
  <sheets>
    <sheet name="январь факт" sheetId="1" r:id="rId1"/>
    <sheet name="февраль факт" sheetId="2" r:id="rId2"/>
    <sheet name="март фaкт" sheetId="3" r:id="rId3"/>
    <sheet name="1 квартал" sheetId="4" r:id="rId4"/>
    <sheet name="апрель фaкт" sheetId="5" r:id="rId5"/>
    <sheet name="май факт" sheetId="6" r:id="rId6"/>
    <sheet name="июнь факт" sheetId="7" r:id="rId7"/>
    <sheet name="2 квартал" sheetId="8" r:id="rId8"/>
    <sheet name="1 полугодие" sheetId="9" r:id="rId9"/>
    <sheet name="июль факт" sheetId="10" r:id="rId10"/>
    <sheet name="август  факт" sheetId="11" r:id="rId11"/>
    <sheet name="сентябрь  факт" sheetId="12" r:id="rId12"/>
    <sheet name="3 квартал" sheetId="13" r:id="rId13"/>
    <sheet name="октябрь факт" sheetId="14" r:id="rId14"/>
    <sheet name="ноябрь факт" sheetId="15" r:id="rId15"/>
    <sheet name="декабрь факт" sheetId="16" r:id="rId16"/>
    <sheet name="4 квартал" sheetId="17" r:id="rId17"/>
    <sheet name="всего" sheetId="18" r:id="rId18"/>
  </sheets>
  <definedNames/>
  <calcPr fullCalcOnLoad="1"/>
</workbook>
</file>

<file path=xl/sharedStrings.xml><?xml version="1.0" encoding="utf-8"?>
<sst xmlns="http://schemas.openxmlformats.org/spreadsheetml/2006/main" count="1476" uniqueCount="68">
  <si>
    <t>ВН</t>
  </si>
  <si>
    <t>СН1</t>
  </si>
  <si>
    <t>СН2</t>
  </si>
  <si>
    <t>НН</t>
  </si>
  <si>
    <t>ООО "ВКМ-Сталь"</t>
  </si>
  <si>
    <t>ООО "Энерголин"</t>
  </si>
  <si>
    <t>ОАО "Биохимик"</t>
  </si>
  <si>
    <t>Филиал ОАО "МРСК Волги"- Мордовэнерго</t>
  </si>
  <si>
    <t>ОАО "Мордовская электротеплосетевая компания"</t>
  </si>
  <si>
    <t>Филиал "Горьковская железная дорога" Энергосбыт</t>
  </si>
  <si>
    <t>МП г.о. Саранск "Горсвет"</t>
  </si>
  <si>
    <t>Филиал ООО "Системы жизнеобеспечения" "Коммунальные ресурсы"</t>
  </si>
  <si>
    <t>ВСЕГО услуга</t>
  </si>
  <si>
    <t>ООО "Электротеплосеть" Зубово Поляна</t>
  </si>
  <si>
    <t>АВГУСТ</t>
  </si>
  <si>
    <t>население всего</t>
  </si>
  <si>
    <t>город</t>
  </si>
  <si>
    <t>село</t>
  </si>
  <si>
    <t xml:space="preserve">Прочие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</si>
  <si>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</si>
  <si>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</si>
  <si>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</si>
  <si>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</si>
  <si>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</si>
  <si>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</si>
  <si>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</si>
  <si>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ОАО "Ремстроймаш"</t>
  </si>
  <si>
    <t>ООО "Бурводстрой"</t>
  </si>
  <si>
    <t>ГУП РМ "Лисма"</t>
  </si>
  <si>
    <t>ОАО "Саранский завод Автосамосвалов"</t>
  </si>
  <si>
    <t>ООО "Производственная фирма "Жилкоммунстрой"</t>
  </si>
  <si>
    <t>МП Лямбирского района РМ "Жилищно-коммунального хозяйства"</t>
  </si>
  <si>
    <t>28 Электросеть</t>
  </si>
  <si>
    <t>ОАО "Саранский завод "Резинотехника"</t>
  </si>
  <si>
    <t>ООО "МордовОпцент"</t>
  </si>
  <si>
    <t>ФКП "Саранский Механическийзавод"</t>
  </si>
  <si>
    <t>ООО "МРТК" ОАО "СаранскТеплоТранс"</t>
  </si>
  <si>
    <t>2011 г.</t>
  </si>
  <si>
    <t xml:space="preserve">ООО "МРТК" </t>
  </si>
  <si>
    <t xml:space="preserve">ООО "ТеплоЛюкс-М" </t>
  </si>
  <si>
    <t xml:space="preserve">ИТОГО </t>
  </si>
  <si>
    <t>1 квартал</t>
  </si>
  <si>
    <t>тыс.кВтч.</t>
  </si>
  <si>
    <t>за ЯНВАРЬ 2011г.</t>
  </si>
  <si>
    <t>Фактический полезный отпуск электроэнергии и мощности по тарифным группам в разрезе ТСО ( территориальных сетевых организаций ) с выделением населения</t>
  </si>
  <si>
    <t>за МАРТ 2011г.</t>
  </si>
  <si>
    <t>за ФЕВРАЛЬ 2011г.</t>
  </si>
  <si>
    <t>за 1 квартал 2011г.</t>
  </si>
  <si>
    <t>за АПРЕЛЬ 2011г.</t>
  </si>
  <si>
    <t>за МАЙ 2011г.</t>
  </si>
  <si>
    <t>за ИЮНЬ 2011г.</t>
  </si>
  <si>
    <t>за 2 квартал 2011г.</t>
  </si>
  <si>
    <t>за 1 полугодие 2011г.</t>
  </si>
  <si>
    <t>за СЕНТЯБРЬ 2011г.</t>
  </si>
  <si>
    <t xml:space="preserve">СЕНТЯБРЬ </t>
  </si>
  <si>
    <t>за ИЮЛЬ 2011г.</t>
  </si>
  <si>
    <t>за АВГУСТ 2011г.</t>
  </si>
  <si>
    <t>за ОКТЯБРЬ 2011г.</t>
  </si>
  <si>
    <t>за НОЯБРЬ 2011г.</t>
  </si>
  <si>
    <t>за ДЕКАБРЬ 2011г.</t>
  </si>
  <si>
    <t xml:space="preserve">ДЕКАБРЬ </t>
  </si>
  <si>
    <t xml:space="preserve">НОЯБРЬ </t>
  </si>
  <si>
    <t xml:space="preserve">ОКТЯБРЬ </t>
  </si>
  <si>
    <t>за 2011г.</t>
  </si>
  <si>
    <t>за 3 квартал 2011г.</t>
  </si>
  <si>
    <t>3 квартал</t>
  </si>
  <si>
    <t>за 4 квартал 2011г.</t>
  </si>
  <si>
    <t>4 квартал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</si>
</sst>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0"/>
    <numFmt numFmtId="170" formatCode="0.000000"/>
    <numFmt numFmtId="171" formatCode="0.0%"/>
    <numFmt numFmtId="172" formatCode="0.000%"/>
    <numFmt numFmtId="173" formatCode="#,##0.0"/>
  </numFmts>
  <fonts count="3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sz val="14"/>
      <name val="Helv"/>
      <family val="0"/>
    </font>
    <font>
      <b/>
      <sz val="1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42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vertical="center"/>
    </xf>
    <xf numFmtId="168" fontId="6" fillId="0" borderId="12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/>
    </xf>
    <xf numFmtId="168" fontId="7" fillId="0" borderId="13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 vertical="center"/>
    </xf>
    <xf numFmtId="168" fontId="7" fillId="0" borderId="14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8" fillId="0" borderId="12" xfId="0" applyNumberFormat="1" applyFont="1" applyFill="1" applyBorder="1" applyAlignment="1">
      <alignment vertical="center"/>
    </xf>
    <xf numFmtId="168" fontId="6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8" fontId="6" fillId="0" borderId="18" xfId="0" applyNumberFormat="1" applyFont="1" applyFill="1" applyBorder="1" applyAlignment="1">
      <alignment vertical="center"/>
    </xf>
    <xf numFmtId="168" fontId="6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8" fontId="8" fillId="0" borderId="18" xfId="0" applyNumberFormat="1" applyFont="1" applyFill="1" applyBorder="1" applyAlignment="1">
      <alignment vertical="center"/>
    </xf>
    <xf numFmtId="168" fontId="8" fillId="0" borderId="19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0" fillId="0" borderId="0" xfId="0" applyNumberFormat="1" applyAlignment="1">
      <alignment/>
    </xf>
    <xf numFmtId="168" fontId="6" fillId="0" borderId="20" xfId="0" applyNumberFormat="1" applyFont="1" applyFill="1" applyBorder="1" applyAlignment="1">
      <alignment vertical="center"/>
    </xf>
    <xf numFmtId="168" fontId="6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168" fontId="8" fillId="0" borderId="0" xfId="0" applyNumberFormat="1" applyFont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Alignment="1">
      <alignment vertical="center"/>
    </xf>
    <xf numFmtId="168" fontId="6" fillId="0" borderId="0" xfId="0" applyNumberFormat="1" applyFont="1" applyAlignment="1">
      <alignment/>
    </xf>
    <xf numFmtId="168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7" fillId="0" borderId="26" xfId="0" applyNumberFormat="1" applyFont="1" applyBorder="1" applyAlignment="1">
      <alignment vertical="center"/>
    </xf>
    <xf numFmtId="168" fontId="6" fillId="0" borderId="27" xfId="0" applyNumberFormat="1" applyFont="1" applyBorder="1" applyAlignment="1">
      <alignment vertical="center"/>
    </xf>
    <xf numFmtId="168" fontId="6" fillId="0" borderId="11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68" fontId="7" fillId="0" borderId="12" xfId="0" applyNumberFormat="1" applyFont="1" applyBorder="1" applyAlignment="1">
      <alignment vertical="center"/>
    </xf>
    <xf numFmtId="168" fontId="8" fillId="0" borderId="11" xfId="0" applyNumberFormat="1" applyFont="1" applyBorder="1" applyAlignment="1">
      <alignment vertical="center" wrapText="1"/>
    </xf>
    <xf numFmtId="168" fontId="8" fillId="0" borderId="12" xfId="0" applyNumberFormat="1" applyFont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/>
    </xf>
    <xf numFmtId="168" fontId="6" fillId="0" borderId="26" xfId="0" applyNumberFormat="1" applyFont="1" applyFill="1" applyBorder="1" applyAlignment="1">
      <alignment vertical="center"/>
    </xf>
    <xf numFmtId="168" fontId="7" fillId="0" borderId="26" xfId="0" applyNumberFormat="1" applyFont="1" applyFill="1" applyBorder="1" applyAlignment="1">
      <alignment vertical="center"/>
    </xf>
    <xf numFmtId="168" fontId="6" fillId="0" borderId="27" xfId="0" applyNumberFormat="1" applyFont="1" applyFill="1" applyBorder="1" applyAlignment="1">
      <alignment vertical="center"/>
    </xf>
    <xf numFmtId="168" fontId="7" fillId="0" borderId="11" xfId="0" applyNumberFormat="1" applyFont="1" applyBorder="1" applyAlignment="1">
      <alignment vertical="center" wrapText="1"/>
    </xf>
    <xf numFmtId="168" fontId="7" fillId="0" borderId="12" xfId="0" applyNumberFormat="1" applyFont="1" applyBorder="1" applyAlignment="1">
      <alignment vertical="center" wrapText="1"/>
    </xf>
    <xf numFmtId="168" fontId="7" fillId="0" borderId="11" xfId="0" applyNumberFormat="1" applyFont="1" applyFill="1" applyBorder="1" applyAlignment="1">
      <alignment vertical="center" wrapText="1"/>
    </xf>
    <xf numFmtId="168" fontId="7" fillId="0" borderId="12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168" fontId="7" fillId="0" borderId="18" xfId="0" applyNumberFormat="1" applyFont="1" applyBorder="1" applyAlignment="1">
      <alignment vertical="center" wrapText="1"/>
    </xf>
    <xf numFmtId="168" fontId="7" fillId="0" borderId="19" xfId="0" applyNumberFormat="1" applyFont="1" applyBorder="1" applyAlignment="1">
      <alignment vertical="center" wrapText="1"/>
    </xf>
    <xf numFmtId="168" fontId="6" fillId="0" borderId="28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/>
    </xf>
    <xf numFmtId="168" fontId="7" fillId="0" borderId="18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vertical="center"/>
    </xf>
    <xf numFmtId="168" fontId="6" fillId="0" borderId="29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8" fillId="0" borderId="26" xfId="0" applyNumberFormat="1" applyFont="1" applyFill="1" applyBorder="1" applyAlignment="1">
      <alignment vertical="center"/>
    </xf>
    <xf numFmtId="168" fontId="8" fillId="0" borderId="27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168" fontId="6" fillId="0" borderId="35" xfId="0" applyNumberFormat="1" applyFont="1" applyFill="1" applyBorder="1" applyAlignment="1">
      <alignment vertical="center"/>
    </xf>
    <xf numFmtId="168" fontId="5" fillId="0" borderId="36" xfId="0" applyNumberFormat="1" applyFont="1" applyFill="1" applyBorder="1" applyAlignment="1">
      <alignment vertical="center"/>
    </xf>
    <xf numFmtId="168" fontId="5" fillId="0" borderId="37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vertical="center"/>
    </xf>
    <xf numFmtId="168" fontId="6" fillId="0" borderId="31" xfId="0" applyNumberFormat="1" applyFont="1" applyFill="1" applyBorder="1" applyAlignment="1">
      <alignment vertical="center"/>
    </xf>
    <xf numFmtId="168" fontId="6" fillId="0" borderId="33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6" fillId="0" borderId="0" xfId="0" applyNumberFormat="1" applyFont="1" applyFill="1" applyAlignment="1">
      <alignment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vertical="center"/>
    </xf>
    <xf numFmtId="168" fontId="6" fillId="0" borderId="4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vertical="center" wrapText="1"/>
    </xf>
    <xf numFmtId="168" fontId="8" fillId="0" borderId="12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168" fontId="6" fillId="0" borderId="10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8" fontId="6" fillId="0" borderId="28" xfId="0" applyNumberFormat="1" applyFont="1" applyFill="1" applyBorder="1" applyAlignment="1">
      <alignment vertical="center" wrapText="1"/>
    </xf>
    <xf numFmtId="168" fontId="7" fillId="0" borderId="18" xfId="0" applyNumberFormat="1" applyFont="1" applyFill="1" applyBorder="1" applyAlignment="1">
      <alignment vertical="center" wrapText="1"/>
    </xf>
    <xf numFmtId="168" fontId="7" fillId="0" borderId="19" xfId="0" applyNumberFormat="1" applyFont="1" applyFill="1" applyBorder="1" applyAlignment="1">
      <alignment vertical="center" wrapText="1"/>
    </xf>
    <xf numFmtId="3" fontId="6" fillId="0" borderId="42" xfId="0" applyNumberFormat="1" applyFont="1" applyFill="1" applyBorder="1" applyAlignment="1">
      <alignment vertical="center"/>
    </xf>
    <xf numFmtId="168" fontId="6" fillId="0" borderId="43" xfId="0" applyNumberFormat="1" applyFont="1" applyFill="1" applyBorder="1" applyAlignment="1">
      <alignment vertical="center"/>
    </xf>
    <xf numFmtId="168" fontId="6" fillId="0" borderId="4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horizontal="center" vertical="center"/>
    </xf>
    <xf numFmtId="168" fontId="6" fillId="0" borderId="46" xfId="0" applyNumberFormat="1" applyFont="1" applyFill="1" applyBorder="1" applyAlignment="1">
      <alignment vertical="center"/>
    </xf>
    <xf numFmtId="168" fontId="5" fillId="0" borderId="26" xfId="0" applyNumberFormat="1" applyFont="1" applyFill="1" applyBorder="1" applyAlignment="1">
      <alignment vertical="center"/>
    </xf>
    <xf numFmtId="168" fontId="5" fillId="0" borderId="27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/>
    </xf>
    <xf numFmtId="168" fontId="7" fillId="0" borderId="18" xfId="0" applyNumberFormat="1" applyFont="1" applyFill="1" applyBorder="1" applyAlignment="1">
      <alignment vertical="center"/>
    </xf>
    <xf numFmtId="168" fontId="7" fillId="0" borderId="1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vertical="center"/>
    </xf>
    <xf numFmtId="168" fontId="6" fillId="0" borderId="20" xfId="0" applyNumberFormat="1" applyFont="1" applyFill="1" applyBorder="1" applyAlignment="1">
      <alignment vertical="center" wrapText="1"/>
    </xf>
    <xf numFmtId="168" fontId="6" fillId="0" borderId="2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6" fillId="0" borderId="3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3" fontId="6" fillId="0" borderId="48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68" fontId="7" fillId="0" borderId="12" xfId="0" applyNumberFormat="1" applyFont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168" fontId="7" fillId="0" borderId="26" xfId="0" applyNumberFormat="1" applyFont="1" applyFill="1" applyBorder="1" applyAlignment="1">
      <alignment vertical="center"/>
    </xf>
    <xf numFmtId="168" fontId="7" fillId="0" borderId="27" xfId="0" applyNumberFormat="1" applyFont="1" applyFill="1" applyBorder="1" applyAlignment="1">
      <alignment vertical="center"/>
    </xf>
    <xf numFmtId="168" fontId="7" fillId="0" borderId="11" xfId="0" applyNumberFormat="1" applyFont="1" applyBorder="1" applyAlignment="1">
      <alignment vertical="center"/>
    </xf>
    <xf numFmtId="168" fontId="7" fillId="0" borderId="41" xfId="0" applyNumberFormat="1" applyFont="1" applyBorder="1" applyAlignment="1">
      <alignment vertical="center"/>
    </xf>
    <xf numFmtId="168" fontId="7" fillId="0" borderId="26" xfId="0" applyNumberFormat="1" applyFont="1" applyBorder="1" applyAlignment="1">
      <alignment vertical="center"/>
    </xf>
    <xf numFmtId="168" fontId="7" fillId="0" borderId="27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vertical="center" wrapText="1"/>
    </xf>
    <xf numFmtId="168" fontId="7" fillId="0" borderId="28" xfId="0" applyNumberFormat="1" applyFont="1" applyBorder="1" applyAlignment="1">
      <alignment vertical="center" wrapText="1"/>
    </xf>
    <xf numFmtId="168" fontId="7" fillId="0" borderId="19" xfId="0" applyNumberFormat="1" applyFont="1" applyBorder="1" applyAlignment="1">
      <alignment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68" fontId="6" fillId="0" borderId="50" xfId="0" applyNumberFormat="1" applyFont="1" applyFill="1" applyBorder="1" applyAlignment="1">
      <alignment vertical="center"/>
    </xf>
    <xf numFmtId="168" fontId="8" fillId="0" borderId="36" xfId="0" applyNumberFormat="1" applyFont="1" applyFill="1" applyBorder="1" applyAlignment="1">
      <alignment vertical="center"/>
    </xf>
    <xf numFmtId="168" fontId="8" fillId="0" borderId="3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8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8" fontId="7" fillId="0" borderId="18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168" fontId="16" fillId="0" borderId="11" xfId="0" applyNumberFormat="1" applyFont="1" applyBorder="1" applyAlignment="1">
      <alignment vertical="center"/>
    </xf>
    <xf numFmtId="168" fontId="6" fillId="24" borderId="46" xfId="0" applyNumberFormat="1" applyFont="1" applyFill="1" applyBorder="1" applyAlignment="1">
      <alignment vertical="center"/>
    </xf>
    <xf numFmtId="168" fontId="5" fillId="24" borderId="26" xfId="0" applyNumberFormat="1" applyFont="1" applyFill="1" applyBorder="1" applyAlignment="1">
      <alignment vertical="center"/>
    </xf>
    <xf numFmtId="168" fontId="5" fillId="24" borderId="27" xfId="0" applyNumberFormat="1" applyFont="1" applyFill="1" applyBorder="1" applyAlignment="1">
      <alignment vertical="center"/>
    </xf>
    <xf numFmtId="168" fontId="6" fillId="24" borderId="20" xfId="0" applyNumberFormat="1" applyFont="1" applyFill="1" applyBorder="1" applyAlignment="1">
      <alignment vertical="center"/>
    </xf>
    <xf numFmtId="168" fontId="6" fillId="24" borderId="11" xfId="0" applyNumberFormat="1" applyFont="1" applyFill="1" applyBorder="1" applyAlignment="1">
      <alignment vertical="center"/>
    </xf>
    <xf numFmtId="168" fontId="6" fillId="24" borderId="12" xfId="0" applyNumberFormat="1" applyFont="1" applyFill="1" applyBorder="1" applyAlignment="1">
      <alignment vertical="center"/>
    </xf>
    <xf numFmtId="168" fontId="5" fillId="24" borderId="11" xfId="0" applyNumberFormat="1" applyFont="1" applyFill="1" applyBorder="1" applyAlignment="1">
      <alignment vertical="center"/>
    </xf>
    <xf numFmtId="168" fontId="5" fillId="24" borderId="12" xfId="0" applyNumberFormat="1" applyFont="1" applyFill="1" applyBorder="1" applyAlignment="1">
      <alignment vertical="center"/>
    </xf>
    <xf numFmtId="168" fontId="7" fillId="24" borderId="11" xfId="0" applyNumberFormat="1" applyFont="1" applyFill="1" applyBorder="1" applyAlignment="1">
      <alignment vertical="center"/>
    </xf>
    <xf numFmtId="168" fontId="7" fillId="24" borderId="12" xfId="0" applyNumberFormat="1" applyFont="1" applyFill="1" applyBorder="1" applyAlignment="1">
      <alignment vertical="center"/>
    </xf>
    <xf numFmtId="168" fontId="5" fillId="24" borderId="11" xfId="0" applyNumberFormat="1" applyFont="1" applyFill="1" applyBorder="1" applyAlignment="1">
      <alignment vertical="center"/>
    </xf>
    <xf numFmtId="168" fontId="7" fillId="24" borderId="12" xfId="0" applyNumberFormat="1" applyFont="1" applyFill="1" applyBorder="1" applyAlignment="1">
      <alignment vertical="center"/>
    </xf>
    <xf numFmtId="168" fontId="8" fillId="24" borderId="11" xfId="0" applyNumberFormat="1" applyFont="1" applyFill="1" applyBorder="1" applyAlignment="1">
      <alignment vertical="center"/>
    </xf>
    <xf numFmtId="168" fontId="8" fillId="24" borderId="12" xfId="0" applyNumberFormat="1" applyFont="1" applyFill="1" applyBorder="1" applyAlignment="1">
      <alignment vertical="center"/>
    </xf>
    <xf numFmtId="168" fontId="6" fillId="24" borderId="21" xfId="0" applyNumberFormat="1" applyFont="1" applyFill="1" applyBorder="1" applyAlignment="1">
      <alignment vertical="center"/>
    </xf>
    <xf numFmtId="168" fontId="7" fillId="24" borderId="14" xfId="0" applyNumberFormat="1" applyFont="1" applyFill="1" applyBorder="1" applyAlignment="1">
      <alignment vertical="center"/>
    </xf>
    <xf numFmtId="168" fontId="6" fillId="24" borderId="14" xfId="0" applyNumberFormat="1" applyFont="1" applyFill="1" applyBorder="1" applyAlignment="1">
      <alignment vertical="center"/>
    </xf>
    <xf numFmtId="168" fontId="6" fillId="24" borderId="15" xfId="0" applyNumberFormat="1" applyFont="1" applyFill="1" applyBorder="1" applyAlignment="1">
      <alignment vertical="center"/>
    </xf>
    <xf numFmtId="168" fontId="6" fillId="24" borderId="41" xfId="0" applyNumberFormat="1" applyFont="1" applyFill="1" applyBorder="1" applyAlignment="1">
      <alignment vertical="center"/>
    </xf>
    <xf numFmtId="168" fontId="7" fillId="24" borderId="41" xfId="0" applyNumberFormat="1" applyFont="1" applyFill="1" applyBorder="1" applyAlignment="1">
      <alignment vertical="center"/>
    </xf>
    <xf numFmtId="168" fontId="7" fillId="24" borderId="26" xfId="0" applyNumberFormat="1" applyFont="1" applyFill="1" applyBorder="1" applyAlignment="1">
      <alignment vertical="center"/>
    </xf>
    <xf numFmtId="168" fontId="7" fillId="24" borderId="27" xfId="0" applyNumberFormat="1" applyFont="1" applyFill="1" applyBorder="1" applyAlignment="1">
      <alignment vertical="center"/>
    </xf>
    <xf numFmtId="168" fontId="6" fillId="24" borderId="10" xfId="0" applyNumberFormat="1" applyFont="1" applyFill="1" applyBorder="1" applyAlignment="1">
      <alignment vertical="center"/>
    </xf>
    <xf numFmtId="168" fontId="7" fillId="24" borderId="10" xfId="0" applyNumberFormat="1" applyFont="1" applyFill="1" applyBorder="1" applyAlignment="1">
      <alignment vertical="center"/>
    </xf>
    <xf numFmtId="168" fontId="7" fillId="24" borderId="11" xfId="0" applyNumberFormat="1" applyFont="1" applyFill="1" applyBorder="1" applyAlignment="1">
      <alignment vertical="center"/>
    </xf>
    <xf numFmtId="168" fontId="7" fillId="24" borderId="10" xfId="0" applyNumberFormat="1" applyFont="1" applyFill="1" applyBorder="1" applyAlignment="1">
      <alignment vertical="center" wrapText="1"/>
    </xf>
    <xf numFmtId="168" fontId="7" fillId="24" borderId="11" xfId="0" applyNumberFormat="1" applyFont="1" applyFill="1" applyBorder="1" applyAlignment="1">
      <alignment vertical="center" wrapText="1"/>
    </xf>
    <xf numFmtId="168" fontId="7" fillId="24" borderId="12" xfId="0" applyNumberFormat="1" applyFont="1" applyFill="1" applyBorder="1" applyAlignment="1">
      <alignment vertical="center" wrapText="1"/>
    </xf>
    <xf numFmtId="168" fontId="6" fillId="24" borderId="10" xfId="0" applyNumberFormat="1" applyFont="1" applyFill="1" applyBorder="1" applyAlignment="1">
      <alignment vertical="center" wrapText="1"/>
    </xf>
    <xf numFmtId="168" fontId="6" fillId="24" borderId="28" xfId="0" applyNumberFormat="1" applyFont="1" applyFill="1" applyBorder="1" applyAlignment="1">
      <alignment vertical="center" wrapText="1"/>
    </xf>
    <xf numFmtId="168" fontId="7" fillId="24" borderId="28" xfId="0" applyNumberFormat="1" applyFont="1" applyFill="1" applyBorder="1" applyAlignment="1">
      <alignment vertical="center" wrapText="1"/>
    </xf>
    <xf numFmtId="168" fontId="7" fillId="24" borderId="18" xfId="0" applyNumberFormat="1" applyFont="1" applyFill="1" applyBorder="1" applyAlignment="1">
      <alignment vertical="center" wrapText="1"/>
    </xf>
    <xf numFmtId="168" fontId="7" fillId="24" borderId="19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5" fillId="0" borderId="26" xfId="0" applyNumberFormat="1" applyFont="1" applyFill="1" applyBorder="1" applyAlignment="1">
      <alignment vertical="center"/>
    </xf>
    <xf numFmtId="168" fontId="5" fillId="0" borderId="27" xfId="0" applyNumberFormat="1" applyFont="1" applyFill="1" applyBorder="1" applyAlignment="1">
      <alignment vertical="center"/>
    </xf>
    <xf numFmtId="168" fontId="7" fillId="0" borderId="26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vertical="center"/>
    </xf>
    <xf numFmtId="168" fontId="7" fillId="0" borderId="12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vertical="center" wrapText="1"/>
    </xf>
    <xf numFmtId="168" fontId="7" fillId="0" borderId="12" xfId="0" applyNumberFormat="1" applyFont="1" applyBorder="1" applyAlignment="1">
      <alignment vertical="center" wrapText="1"/>
    </xf>
    <xf numFmtId="168" fontId="7" fillId="0" borderId="18" xfId="0" applyNumberFormat="1" applyFont="1" applyBorder="1" applyAlignment="1">
      <alignment vertical="center" wrapText="1"/>
    </xf>
    <xf numFmtId="168" fontId="7" fillId="0" borderId="19" xfId="0" applyNumberFormat="1" applyFont="1" applyBorder="1" applyAlignment="1">
      <alignment vertical="center" wrapText="1"/>
    </xf>
    <xf numFmtId="168" fontId="7" fillId="0" borderId="11" xfId="0" applyNumberFormat="1" applyFont="1" applyFill="1" applyBorder="1" applyAlignment="1">
      <alignment vertical="center" wrapText="1"/>
    </xf>
    <xf numFmtId="168" fontId="7" fillId="0" borderId="12" xfId="0" applyNumberFormat="1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vertical="center"/>
    </xf>
    <xf numFmtId="168" fontId="8" fillId="0" borderId="15" xfId="0" applyNumberFormat="1" applyFont="1" applyFill="1" applyBorder="1" applyAlignment="1">
      <alignment vertical="center"/>
    </xf>
    <xf numFmtId="168" fontId="5" fillId="0" borderId="18" xfId="0" applyNumberFormat="1" applyFont="1" applyFill="1" applyBorder="1" applyAlignment="1">
      <alignment vertical="center"/>
    </xf>
    <xf numFmtId="168" fontId="7" fillId="0" borderId="26" xfId="0" applyNumberFormat="1" applyFont="1" applyBorder="1" applyAlignment="1">
      <alignment vertical="center" wrapText="1"/>
    </xf>
    <xf numFmtId="168" fontId="7" fillId="0" borderId="27" xfId="0" applyNumberFormat="1" applyFont="1" applyBorder="1" applyAlignment="1">
      <alignment vertical="center" wrapText="1"/>
    </xf>
    <xf numFmtId="168" fontId="7" fillId="0" borderId="14" xfId="0" applyNumberFormat="1" applyFont="1" applyBorder="1" applyAlignment="1">
      <alignment vertical="center" wrapText="1"/>
    </xf>
    <xf numFmtId="168" fontId="7" fillId="0" borderId="15" xfId="0" applyNumberFormat="1" applyFont="1" applyBorder="1" applyAlignment="1">
      <alignment vertical="center" wrapText="1"/>
    </xf>
    <xf numFmtId="168" fontId="6" fillId="0" borderId="51" xfId="0" applyNumberFormat="1" applyFont="1" applyFill="1" applyBorder="1" applyAlignment="1">
      <alignment vertical="center"/>
    </xf>
    <xf numFmtId="168" fontId="5" fillId="24" borderId="26" xfId="0" applyNumberFormat="1" applyFont="1" applyFill="1" applyBorder="1" applyAlignment="1">
      <alignment vertical="center"/>
    </xf>
    <xf numFmtId="168" fontId="5" fillId="24" borderId="27" xfId="0" applyNumberFormat="1" applyFont="1" applyFill="1" applyBorder="1" applyAlignment="1">
      <alignment vertical="center"/>
    </xf>
    <xf numFmtId="168" fontId="5" fillId="24" borderId="12" xfId="0" applyNumberFormat="1" applyFont="1" applyFill="1" applyBorder="1" applyAlignment="1">
      <alignment vertical="center"/>
    </xf>
    <xf numFmtId="168" fontId="6" fillId="24" borderId="28" xfId="0" applyNumberFormat="1" applyFont="1" applyFill="1" applyBorder="1" applyAlignment="1">
      <alignment vertical="center"/>
    </xf>
    <xf numFmtId="168" fontId="8" fillId="24" borderId="18" xfId="0" applyNumberFormat="1" applyFont="1" applyFill="1" applyBorder="1" applyAlignment="1">
      <alignment vertical="center"/>
    </xf>
    <xf numFmtId="168" fontId="8" fillId="24" borderId="19" xfId="0" applyNumberFormat="1" applyFont="1" applyFill="1" applyBorder="1" applyAlignment="1">
      <alignment vertical="center"/>
    </xf>
    <xf numFmtId="168" fontId="8" fillId="24" borderId="26" xfId="0" applyNumberFormat="1" applyFont="1" applyFill="1" applyBorder="1" applyAlignment="1">
      <alignment vertical="center"/>
    </xf>
    <xf numFmtId="168" fontId="8" fillId="24" borderId="27" xfId="0" applyNumberFormat="1" applyFont="1" applyFill="1" applyBorder="1" applyAlignment="1">
      <alignment vertical="center"/>
    </xf>
    <xf numFmtId="168" fontId="5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3" sqref="C83"/>
    </sheetView>
  </sheetViews>
  <sheetFormatPr defaultColWidth="9.00390625" defaultRowHeight="12.75"/>
  <cols>
    <col min="1" max="1" width="55.25390625" style="0" customWidth="1"/>
    <col min="2" max="6" width="25.25390625" style="0" customWidth="1"/>
  </cols>
  <sheetData>
    <row r="1" spans="1:6" s="76" customFormat="1" ht="48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43</v>
      </c>
      <c r="B2" s="239"/>
      <c r="C2" s="239"/>
      <c r="D2" s="240"/>
      <c r="E2" s="240"/>
      <c r="F2" s="240"/>
    </row>
    <row r="3" s="3" customFormat="1" ht="24.75" customHeight="1" thickBot="1">
      <c r="F3" s="138" t="s">
        <v>42</v>
      </c>
    </row>
    <row r="4" spans="1:6" s="1" customFormat="1" ht="29.25" customHeight="1" thickBot="1">
      <c r="A4" s="78" t="s">
        <v>19</v>
      </c>
      <c r="B4" s="79"/>
      <c r="C4" s="80" t="s">
        <v>0</v>
      </c>
      <c r="D4" s="80" t="s">
        <v>1</v>
      </c>
      <c r="E4" s="80" t="s">
        <v>2</v>
      </c>
      <c r="F4" s="81" t="s">
        <v>3</v>
      </c>
    </row>
    <row r="5" spans="1:6" s="2" customFormat="1" ht="57" customHeight="1">
      <c r="A5" s="82" t="s">
        <v>7</v>
      </c>
      <c r="B5" s="83">
        <f aca="true" t="shared" si="0" ref="B5:B46">C5+D5+E5+F5</f>
        <v>93262</v>
      </c>
      <c r="C5" s="84">
        <f>C6+C7</f>
        <v>39428.977</v>
      </c>
      <c r="D5" s="84">
        <f>D6+D7</f>
        <v>1536.84</v>
      </c>
      <c r="E5" s="84">
        <f>E6+E7</f>
        <v>24140.552</v>
      </c>
      <c r="F5" s="85">
        <f>F6+F7</f>
        <v>28155.631</v>
      </c>
    </row>
    <row r="6" spans="1:6" s="2" customFormat="1" ht="27" customHeight="1">
      <c r="A6" s="36" t="s">
        <v>18</v>
      </c>
      <c r="B6" s="34">
        <f t="shared" si="0"/>
        <v>77065.88799999999</v>
      </c>
      <c r="C6" s="8">
        <f>39428.977-C7</f>
        <v>39105.159999999996</v>
      </c>
      <c r="D6" s="8">
        <f>1536.84-D7</f>
        <v>1535.52</v>
      </c>
      <c r="E6" s="8">
        <f>24140.552-E7</f>
        <v>23363.703</v>
      </c>
      <c r="F6" s="9">
        <f>28155.631-F7</f>
        <v>13061.505000000001</v>
      </c>
    </row>
    <row r="7" spans="1:6" s="2" customFormat="1" ht="20.25" customHeight="1">
      <c r="A7" s="36" t="s">
        <v>15</v>
      </c>
      <c r="B7" s="34">
        <f t="shared" si="0"/>
        <v>16196.112000000001</v>
      </c>
      <c r="C7" s="17">
        <f>C8+C9</f>
        <v>323.817</v>
      </c>
      <c r="D7" s="17">
        <f>D8+D9</f>
        <v>1.32</v>
      </c>
      <c r="E7" s="17">
        <f>E8+E9</f>
        <v>776.849</v>
      </c>
      <c r="F7" s="18">
        <f>F8+F9</f>
        <v>15094.126</v>
      </c>
    </row>
    <row r="8" spans="1:6" s="2" customFormat="1" ht="21.75" customHeight="1">
      <c r="A8" s="36" t="s">
        <v>16</v>
      </c>
      <c r="B8" s="34">
        <f t="shared" si="0"/>
        <v>4908.902</v>
      </c>
      <c r="C8" s="11">
        <v>55.672</v>
      </c>
      <c r="D8" s="11"/>
      <c r="E8" s="11">
        <v>114.08</v>
      </c>
      <c r="F8" s="12">
        <v>4739.15</v>
      </c>
    </row>
    <row r="9" spans="1:6" s="2" customFormat="1" ht="24.75" customHeight="1">
      <c r="A9" s="36" t="s">
        <v>17</v>
      </c>
      <c r="B9" s="34">
        <f t="shared" si="0"/>
        <v>11287.210000000001</v>
      </c>
      <c r="C9" s="11">
        <v>268.145</v>
      </c>
      <c r="D9" s="11">
        <v>1.32</v>
      </c>
      <c r="E9" s="11">
        <v>662.769</v>
      </c>
      <c r="F9" s="12">
        <v>10354.976</v>
      </c>
    </row>
    <row r="10" spans="1:6" s="2" customFormat="1" ht="47.25" customHeight="1">
      <c r="A10" s="86" t="s">
        <v>13</v>
      </c>
      <c r="B10" s="34">
        <f t="shared" si="0"/>
        <v>7060.057000000001</v>
      </c>
      <c r="C10" s="17">
        <f>C11+C12</f>
        <v>980.9599999999999</v>
      </c>
      <c r="D10" s="17"/>
      <c r="E10" s="17">
        <f>E11+E12</f>
        <v>2610.157</v>
      </c>
      <c r="F10" s="18">
        <f>F11+F12</f>
        <v>3468.94</v>
      </c>
    </row>
    <row r="11" spans="1:6" s="2" customFormat="1" ht="21.75" customHeight="1">
      <c r="A11" s="36" t="s">
        <v>18</v>
      </c>
      <c r="B11" s="34">
        <f t="shared" si="0"/>
        <v>4458.907</v>
      </c>
      <c r="C11" s="8">
        <v>862.915</v>
      </c>
      <c r="D11" s="8"/>
      <c r="E11" s="8">
        <v>2166.799</v>
      </c>
      <c r="F11" s="9">
        <v>1429.193</v>
      </c>
    </row>
    <row r="12" spans="1:6" s="2" customFormat="1" ht="19.5" customHeight="1">
      <c r="A12" s="36" t="s">
        <v>15</v>
      </c>
      <c r="B12" s="34">
        <f t="shared" si="0"/>
        <v>2601.15</v>
      </c>
      <c r="C12" s="17">
        <f>C13+C14</f>
        <v>118.045</v>
      </c>
      <c r="D12" s="8"/>
      <c r="E12" s="17">
        <f>E13+E14</f>
        <v>443.358</v>
      </c>
      <c r="F12" s="18">
        <f>F13+F14</f>
        <v>2039.747</v>
      </c>
    </row>
    <row r="13" spans="1:6" s="2" customFormat="1" ht="17.25" customHeight="1">
      <c r="A13" s="36" t="s">
        <v>16</v>
      </c>
      <c r="B13" s="34">
        <f t="shared" si="0"/>
        <v>1400.46</v>
      </c>
      <c r="C13" s="11"/>
      <c r="D13" s="11"/>
      <c r="E13" s="11">
        <v>75.068</v>
      </c>
      <c r="F13" s="12">
        <v>1325.392</v>
      </c>
    </row>
    <row r="14" spans="1:6" s="2" customFormat="1" ht="17.25" customHeight="1">
      <c r="A14" s="36" t="s">
        <v>17</v>
      </c>
      <c r="B14" s="34">
        <f t="shared" si="0"/>
        <v>1200.69</v>
      </c>
      <c r="C14" s="11">
        <v>118.045</v>
      </c>
      <c r="D14" s="11"/>
      <c r="E14" s="11">
        <v>368.29</v>
      </c>
      <c r="F14" s="12">
        <v>714.355</v>
      </c>
    </row>
    <row r="15" spans="1:6" s="2" customFormat="1" ht="35.25" customHeight="1">
      <c r="A15" s="86" t="s">
        <v>6</v>
      </c>
      <c r="B15" s="34">
        <f t="shared" si="0"/>
        <v>1544.464</v>
      </c>
      <c r="C15" s="17">
        <f>C16+C17</f>
        <v>1544.464</v>
      </c>
      <c r="D15" s="8"/>
      <c r="E15" s="8"/>
      <c r="F15" s="9"/>
    </row>
    <row r="16" spans="1:6" s="2" customFormat="1" ht="19.5" customHeight="1">
      <c r="A16" s="36" t="s">
        <v>18</v>
      </c>
      <c r="B16" s="34">
        <f t="shared" si="0"/>
        <v>1544.043</v>
      </c>
      <c r="C16" s="8">
        <v>1544.043</v>
      </c>
      <c r="D16" s="8"/>
      <c r="E16" s="17"/>
      <c r="F16" s="18"/>
    </row>
    <row r="17" spans="1:6" s="2" customFormat="1" ht="18" customHeight="1">
      <c r="A17" s="36" t="s">
        <v>15</v>
      </c>
      <c r="B17" s="34">
        <f t="shared" si="0"/>
        <v>0.421</v>
      </c>
      <c r="C17" s="8">
        <f>C18+C19</f>
        <v>0.421</v>
      </c>
      <c r="D17" s="8"/>
      <c r="E17" s="17">
        <f>E18+E19</f>
        <v>0</v>
      </c>
      <c r="F17" s="18">
        <f>F18+F19</f>
        <v>0</v>
      </c>
    </row>
    <row r="18" spans="1:6" s="2" customFormat="1" ht="19.5" customHeight="1">
      <c r="A18" s="36" t="s">
        <v>16</v>
      </c>
      <c r="B18" s="34">
        <f t="shared" si="0"/>
        <v>0.421</v>
      </c>
      <c r="C18" s="11">
        <v>0.421</v>
      </c>
      <c r="D18" s="11"/>
      <c r="E18" s="11"/>
      <c r="F18" s="12"/>
    </row>
    <row r="19" spans="1:6" s="2" customFormat="1" ht="19.5" customHeight="1">
      <c r="A19" s="36" t="s">
        <v>17</v>
      </c>
      <c r="B19" s="34">
        <f t="shared" si="0"/>
        <v>0</v>
      </c>
      <c r="C19" s="11"/>
      <c r="D19" s="11"/>
      <c r="E19" s="11"/>
      <c r="F19" s="12"/>
    </row>
    <row r="20" spans="1:6" s="2" customFormat="1" ht="42.75" customHeight="1">
      <c r="A20" s="86" t="s">
        <v>38</v>
      </c>
      <c r="B20" s="34">
        <f>C20+D20+E20+F20</f>
        <v>1260.696</v>
      </c>
      <c r="C20" s="17">
        <f>C21+C22</f>
        <v>9.36</v>
      </c>
      <c r="D20" s="17">
        <f>D21+D22</f>
        <v>1150.244</v>
      </c>
      <c r="E20" s="17">
        <f>E21+E22</f>
        <v>23.218</v>
      </c>
      <c r="F20" s="18">
        <f>F21+F22</f>
        <v>77.874</v>
      </c>
    </row>
    <row r="21" spans="1:6" s="2" customFormat="1" ht="21.75" customHeight="1">
      <c r="A21" s="36" t="s">
        <v>18</v>
      </c>
      <c r="B21" s="34">
        <f>C21+D21+E21+F21</f>
        <v>1237.4959999999999</v>
      </c>
      <c r="C21" s="8">
        <v>9.36</v>
      </c>
      <c r="D21" s="8">
        <v>1150.244</v>
      </c>
      <c r="E21" s="8">
        <v>23.218</v>
      </c>
      <c r="F21" s="9">
        <v>54.674</v>
      </c>
    </row>
    <row r="22" spans="1:6" s="2" customFormat="1" ht="21" customHeight="1">
      <c r="A22" s="36" t="s">
        <v>15</v>
      </c>
      <c r="B22" s="34">
        <f>C22+D22+E22+F22</f>
        <v>23.2</v>
      </c>
      <c r="C22" s="8"/>
      <c r="D22" s="8"/>
      <c r="E22" s="17">
        <f>E23+E24</f>
        <v>0</v>
      </c>
      <c r="F22" s="18">
        <f>F23+F24</f>
        <v>23.2</v>
      </c>
    </row>
    <row r="23" spans="1:6" s="2" customFormat="1" ht="21.75" customHeight="1">
      <c r="A23" s="36" t="s">
        <v>16</v>
      </c>
      <c r="B23" s="34">
        <f>C23+D23+E23+F23</f>
        <v>23.2</v>
      </c>
      <c r="C23" s="11"/>
      <c r="D23" s="11"/>
      <c r="E23" s="11"/>
      <c r="F23" s="12">
        <v>23.2</v>
      </c>
    </row>
    <row r="24" spans="1:6" s="2" customFormat="1" ht="21" customHeight="1">
      <c r="A24" s="36" t="s">
        <v>17</v>
      </c>
      <c r="B24" s="34">
        <f>C24+D24+E24+F24</f>
        <v>0</v>
      </c>
      <c r="C24" s="11"/>
      <c r="D24" s="11"/>
      <c r="E24" s="11"/>
      <c r="F24" s="12"/>
    </row>
    <row r="25" spans="1:6" s="2" customFormat="1" ht="39" customHeight="1">
      <c r="A25" s="86" t="s">
        <v>8</v>
      </c>
      <c r="B25" s="34">
        <f t="shared" si="0"/>
        <v>13794.633</v>
      </c>
      <c r="C25" s="17">
        <f>C26+C27</f>
        <v>7062.36</v>
      </c>
      <c r="D25" s="17"/>
      <c r="E25" s="17">
        <f>E26+E27</f>
        <v>2465.666</v>
      </c>
      <c r="F25" s="18">
        <f>F26+F27</f>
        <v>4266.607</v>
      </c>
    </row>
    <row r="26" spans="1:6" s="2" customFormat="1" ht="19.5" customHeight="1">
      <c r="A26" s="36" t="s">
        <v>18</v>
      </c>
      <c r="B26" s="34">
        <f t="shared" si="0"/>
        <v>10963.279</v>
      </c>
      <c r="C26" s="8">
        <v>7062.36</v>
      </c>
      <c r="D26" s="8"/>
      <c r="E26" s="17">
        <v>2425.087</v>
      </c>
      <c r="F26" s="18">
        <v>1475.832</v>
      </c>
    </row>
    <row r="27" spans="1:6" s="2" customFormat="1" ht="20.25" customHeight="1">
      <c r="A27" s="36" t="s">
        <v>15</v>
      </c>
      <c r="B27" s="34">
        <f t="shared" si="0"/>
        <v>2831.3540000000003</v>
      </c>
      <c r="C27" s="8"/>
      <c r="D27" s="8"/>
      <c r="E27" s="17">
        <f>E28+E29</f>
        <v>40.579</v>
      </c>
      <c r="F27" s="18">
        <f>F28+F29</f>
        <v>2790.775</v>
      </c>
    </row>
    <row r="28" spans="1:6" s="2" customFormat="1" ht="20.25" customHeight="1">
      <c r="A28" s="36" t="s">
        <v>16</v>
      </c>
      <c r="B28" s="34">
        <f t="shared" si="0"/>
        <v>2800.5820000000003</v>
      </c>
      <c r="C28" s="11"/>
      <c r="D28" s="11"/>
      <c r="E28" s="11">
        <v>40.579</v>
      </c>
      <c r="F28" s="12">
        <f>2594.223+165.78</f>
        <v>2760.003</v>
      </c>
    </row>
    <row r="29" spans="1:6" s="2" customFormat="1" ht="20.25" customHeight="1">
      <c r="A29" s="36" t="s">
        <v>17</v>
      </c>
      <c r="B29" s="34">
        <f t="shared" si="0"/>
        <v>30.772</v>
      </c>
      <c r="C29" s="11"/>
      <c r="D29" s="11"/>
      <c r="E29" s="11"/>
      <c r="F29" s="12">
        <v>30.772</v>
      </c>
    </row>
    <row r="30" spans="1:6" s="2" customFormat="1" ht="39.75" customHeight="1">
      <c r="A30" s="86" t="s">
        <v>9</v>
      </c>
      <c r="B30" s="34">
        <f t="shared" si="0"/>
        <v>137.145</v>
      </c>
      <c r="C30" s="17"/>
      <c r="D30" s="17"/>
      <c r="E30" s="17">
        <f>E31+E32</f>
        <v>102.599</v>
      </c>
      <c r="F30" s="18">
        <f>F31+F32</f>
        <v>34.546</v>
      </c>
    </row>
    <row r="31" spans="1:6" s="2" customFormat="1" ht="22.5" customHeight="1">
      <c r="A31" s="36" t="s">
        <v>18</v>
      </c>
      <c r="B31" s="34">
        <f t="shared" si="0"/>
        <v>114.804</v>
      </c>
      <c r="C31" s="8"/>
      <c r="D31" s="8"/>
      <c r="E31" s="17">
        <v>102.599</v>
      </c>
      <c r="F31" s="18">
        <v>12.205</v>
      </c>
    </row>
    <row r="32" spans="1:6" s="2" customFormat="1" ht="24.75" customHeight="1">
      <c r="A32" s="36" t="s">
        <v>15</v>
      </c>
      <c r="B32" s="34">
        <f t="shared" si="0"/>
        <v>22.341</v>
      </c>
      <c r="C32" s="8"/>
      <c r="D32" s="8"/>
      <c r="E32" s="17">
        <f>E33+E34</f>
        <v>0</v>
      </c>
      <c r="F32" s="18">
        <f>F33+F34</f>
        <v>22.341</v>
      </c>
    </row>
    <row r="33" spans="1:6" s="2" customFormat="1" ht="18" customHeight="1">
      <c r="A33" s="36" t="s">
        <v>16</v>
      </c>
      <c r="B33" s="34">
        <f t="shared" si="0"/>
        <v>16.693</v>
      </c>
      <c r="C33" s="11"/>
      <c r="D33" s="11"/>
      <c r="E33" s="11"/>
      <c r="F33" s="12">
        <v>16.693</v>
      </c>
    </row>
    <row r="34" spans="1:6" s="2" customFormat="1" ht="18" customHeight="1">
      <c r="A34" s="36" t="s">
        <v>17</v>
      </c>
      <c r="B34" s="34">
        <f t="shared" si="0"/>
        <v>5.648</v>
      </c>
      <c r="C34" s="11"/>
      <c r="D34" s="11"/>
      <c r="E34" s="11"/>
      <c r="F34" s="12">
        <v>5.648</v>
      </c>
    </row>
    <row r="35" spans="1:6" s="2" customFormat="1" ht="25.5" customHeight="1">
      <c r="A35" s="86" t="s">
        <v>32</v>
      </c>
      <c r="B35" s="34">
        <f t="shared" si="0"/>
        <v>259.22700000000003</v>
      </c>
      <c r="C35" s="17">
        <f>C36+C37</f>
        <v>137.14</v>
      </c>
      <c r="D35" s="23"/>
      <c r="E35" s="17">
        <f>E36+E37</f>
        <v>100.528</v>
      </c>
      <c r="F35" s="18">
        <f>F36+F37</f>
        <v>21.559</v>
      </c>
    </row>
    <row r="36" spans="1:6" s="2" customFormat="1" ht="23.25" customHeight="1">
      <c r="A36" s="36" t="s">
        <v>18</v>
      </c>
      <c r="B36" s="34">
        <f t="shared" si="0"/>
        <v>237.762</v>
      </c>
      <c r="C36" s="8">
        <v>137.14</v>
      </c>
      <c r="D36" s="8"/>
      <c r="E36" s="8">
        <v>100.528</v>
      </c>
      <c r="F36" s="9">
        <v>0.094</v>
      </c>
    </row>
    <row r="37" spans="1:6" s="2" customFormat="1" ht="23.25" customHeight="1">
      <c r="A37" s="36" t="s">
        <v>15</v>
      </c>
      <c r="B37" s="34">
        <f t="shared" si="0"/>
        <v>21.465</v>
      </c>
      <c r="C37" s="17">
        <f>C38+C39</f>
        <v>0</v>
      </c>
      <c r="D37" s="8"/>
      <c r="E37" s="17">
        <f>E38+E39</f>
        <v>0</v>
      </c>
      <c r="F37" s="18">
        <f>F38+F39</f>
        <v>21.465</v>
      </c>
    </row>
    <row r="38" spans="1:6" s="2" customFormat="1" ht="23.25" customHeight="1">
      <c r="A38" s="36" t="s">
        <v>16</v>
      </c>
      <c r="B38" s="34">
        <f t="shared" si="0"/>
        <v>0</v>
      </c>
      <c r="C38" s="23"/>
      <c r="D38" s="23"/>
      <c r="E38" s="23"/>
      <c r="F38" s="26"/>
    </row>
    <row r="39" spans="1:6" s="2" customFormat="1" ht="23.25" customHeight="1">
      <c r="A39" s="36" t="s">
        <v>17</v>
      </c>
      <c r="B39" s="34">
        <f t="shared" si="0"/>
        <v>21.465</v>
      </c>
      <c r="C39" s="23"/>
      <c r="D39" s="23"/>
      <c r="E39" s="23"/>
      <c r="F39" s="26">
        <v>21.465</v>
      </c>
    </row>
    <row r="40" spans="1:6" s="2" customFormat="1" ht="27" customHeight="1">
      <c r="A40" s="86" t="s">
        <v>33</v>
      </c>
      <c r="B40" s="34">
        <f t="shared" si="0"/>
        <v>46.782000000000004</v>
      </c>
      <c r="C40" s="23">
        <f>C41+C42</f>
        <v>1.566</v>
      </c>
      <c r="D40" s="23"/>
      <c r="E40" s="23">
        <f>E41+E42</f>
        <v>45.216</v>
      </c>
      <c r="F40" s="18"/>
    </row>
    <row r="41" spans="1:6" s="2" customFormat="1" ht="19.5" customHeight="1">
      <c r="A41" s="36" t="s">
        <v>18</v>
      </c>
      <c r="B41" s="34">
        <f t="shared" si="0"/>
        <v>46.782000000000004</v>
      </c>
      <c r="C41" s="8">
        <v>1.566</v>
      </c>
      <c r="D41" s="8"/>
      <c r="E41" s="8">
        <v>45.216</v>
      </c>
      <c r="F41" s="9"/>
    </row>
    <row r="42" spans="1:6" s="2" customFormat="1" ht="19.5" customHeight="1">
      <c r="A42" s="36" t="s">
        <v>15</v>
      </c>
      <c r="B42" s="34">
        <f t="shared" si="0"/>
        <v>0</v>
      </c>
      <c r="C42" s="17">
        <f>C43+C44</f>
        <v>0</v>
      </c>
      <c r="D42" s="8"/>
      <c r="E42" s="17">
        <f>E43+E44</f>
        <v>0</v>
      </c>
      <c r="F42" s="18"/>
    </row>
    <row r="43" spans="1:6" s="2" customFormat="1" ht="19.5" customHeight="1">
      <c r="A43" s="36" t="s">
        <v>16</v>
      </c>
      <c r="B43" s="34">
        <f t="shared" si="0"/>
        <v>0</v>
      </c>
      <c r="C43" s="23"/>
      <c r="D43" s="23"/>
      <c r="E43" s="23"/>
      <c r="F43" s="26"/>
    </row>
    <row r="44" spans="1:6" s="2" customFormat="1" ht="19.5" customHeight="1">
      <c r="A44" s="36" t="s">
        <v>17</v>
      </c>
      <c r="B44" s="34">
        <f t="shared" si="0"/>
        <v>0</v>
      </c>
      <c r="C44" s="23"/>
      <c r="D44" s="23"/>
      <c r="E44" s="23"/>
      <c r="F44" s="26"/>
    </row>
    <row r="45" spans="1:6" s="2" customFormat="1" ht="24.75" customHeight="1">
      <c r="A45" s="86" t="s">
        <v>10</v>
      </c>
      <c r="B45" s="34">
        <f t="shared" si="0"/>
        <v>2952.942</v>
      </c>
      <c r="C45" s="17">
        <f>C46+C47</f>
        <v>0</v>
      </c>
      <c r="D45" s="8"/>
      <c r="E45" s="17">
        <f>E46+E47</f>
        <v>2276.456</v>
      </c>
      <c r="F45" s="18">
        <f>F46+F47</f>
        <v>676.486</v>
      </c>
    </row>
    <row r="46" spans="1:6" s="2" customFormat="1" ht="24.75" customHeight="1">
      <c r="A46" s="36" t="s">
        <v>18</v>
      </c>
      <c r="B46" s="34">
        <f t="shared" si="0"/>
        <v>2449.371</v>
      </c>
      <c r="C46" s="8"/>
      <c r="D46" s="8"/>
      <c r="E46" s="17">
        <v>2243.052</v>
      </c>
      <c r="F46" s="18">
        <v>206.319</v>
      </c>
    </row>
    <row r="47" spans="1:6" s="2" customFormat="1" ht="24.75" customHeight="1">
      <c r="A47" s="36" t="s">
        <v>15</v>
      </c>
      <c r="B47" s="34">
        <f aca="true" t="shared" si="1" ref="B47:B69">C47+D47+E47+F47</f>
        <v>503.57099999999997</v>
      </c>
      <c r="C47" s="8"/>
      <c r="D47" s="8"/>
      <c r="E47" s="17">
        <f>E48+E49</f>
        <v>33.404</v>
      </c>
      <c r="F47" s="18">
        <f>F48+F49</f>
        <v>470.167</v>
      </c>
    </row>
    <row r="48" spans="1:6" s="2" customFormat="1" ht="24.75" customHeight="1">
      <c r="A48" s="36" t="s">
        <v>16</v>
      </c>
      <c r="B48" s="34">
        <f t="shared" si="1"/>
        <v>409.955</v>
      </c>
      <c r="C48" s="8"/>
      <c r="D48" s="8"/>
      <c r="E48" s="11">
        <v>32.24</v>
      </c>
      <c r="F48" s="12">
        <f>353.835+23.88</f>
        <v>377.715</v>
      </c>
    </row>
    <row r="49" spans="1:6" s="2" customFormat="1" ht="24.75" customHeight="1">
      <c r="A49" s="36" t="s">
        <v>17</v>
      </c>
      <c r="B49" s="34">
        <f t="shared" si="1"/>
        <v>93.616</v>
      </c>
      <c r="C49" s="8"/>
      <c r="D49" s="8"/>
      <c r="E49" s="11">
        <v>1.164</v>
      </c>
      <c r="F49" s="12">
        <v>92.452</v>
      </c>
    </row>
    <row r="50" spans="1:6" s="2" customFormat="1" ht="24.75" customHeight="1">
      <c r="A50" s="86" t="s">
        <v>5</v>
      </c>
      <c r="B50" s="34">
        <f t="shared" si="1"/>
        <v>2827.0820000000003</v>
      </c>
      <c r="C50" s="17">
        <f>C51+C52</f>
        <v>383.276</v>
      </c>
      <c r="D50" s="8"/>
      <c r="E50" s="17">
        <f>E51+E52</f>
        <v>1220.564</v>
      </c>
      <c r="F50" s="18">
        <f>F51+F52</f>
        <v>1223.2420000000002</v>
      </c>
    </row>
    <row r="51" spans="1:6" s="2" customFormat="1" ht="24.75" customHeight="1">
      <c r="A51" s="36" t="s">
        <v>18</v>
      </c>
      <c r="B51" s="34">
        <f t="shared" si="1"/>
        <v>1703.904</v>
      </c>
      <c r="C51" s="17">
        <v>383.276</v>
      </c>
      <c r="D51" s="8"/>
      <c r="E51" s="17">
        <v>629.355</v>
      </c>
      <c r="F51" s="18">
        <v>691.273</v>
      </c>
    </row>
    <row r="52" spans="1:6" s="2" customFormat="1" ht="24.75" customHeight="1">
      <c r="A52" s="36" t="s">
        <v>15</v>
      </c>
      <c r="B52" s="34">
        <f t="shared" si="1"/>
        <v>1123.178</v>
      </c>
      <c r="C52" s="8"/>
      <c r="D52" s="8"/>
      <c r="E52" s="17">
        <f>E53+E54</f>
        <v>591.2090000000001</v>
      </c>
      <c r="F52" s="18">
        <f>F53+F54</f>
        <v>531.969</v>
      </c>
    </row>
    <row r="53" spans="1:6" s="2" customFormat="1" ht="24.75" customHeight="1">
      <c r="A53" s="36" t="s">
        <v>16</v>
      </c>
      <c r="B53" s="34">
        <f t="shared" si="1"/>
        <v>1118.738</v>
      </c>
      <c r="C53" s="11"/>
      <c r="D53" s="11"/>
      <c r="E53" s="11">
        <f>584.681+2.088</f>
        <v>586.769</v>
      </c>
      <c r="F53" s="12">
        <v>531.969</v>
      </c>
    </row>
    <row r="54" spans="1:6" s="2" customFormat="1" ht="24.75" customHeight="1">
      <c r="A54" s="36" t="s">
        <v>17</v>
      </c>
      <c r="B54" s="34">
        <f t="shared" si="1"/>
        <v>4.44</v>
      </c>
      <c r="C54" s="11"/>
      <c r="D54" s="11"/>
      <c r="E54" s="11">
        <v>4.44</v>
      </c>
      <c r="F54" s="12"/>
    </row>
    <row r="55" spans="1:6" s="2" customFormat="1" ht="50.25" customHeight="1">
      <c r="A55" s="86" t="s">
        <v>11</v>
      </c>
      <c r="B55" s="34">
        <f t="shared" si="1"/>
        <v>7199.164000000001</v>
      </c>
      <c r="C55" s="17"/>
      <c r="D55" s="8"/>
      <c r="E55" s="17">
        <f>E56+E57</f>
        <v>1794.2289999999998</v>
      </c>
      <c r="F55" s="18">
        <f>F56+F57</f>
        <v>5404.935</v>
      </c>
    </row>
    <row r="56" spans="1:6" s="2" customFormat="1" ht="26.25" customHeight="1">
      <c r="A56" s="36" t="s">
        <v>18</v>
      </c>
      <c r="B56" s="34">
        <f t="shared" si="1"/>
        <v>3597.026</v>
      </c>
      <c r="C56" s="8"/>
      <c r="D56" s="8"/>
      <c r="E56" s="17">
        <v>1543.925</v>
      </c>
      <c r="F56" s="18">
        <v>2053.101</v>
      </c>
    </row>
    <row r="57" spans="1:6" s="2" customFormat="1" ht="26.25" customHeight="1">
      <c r="A57" s="36" t="s">
        <v>15</v>
      </c>
      <c r="B57" s="34">
        <f t="shared" si="1"/>
        <v>3602.1380000000004</v>
      </c>
      <c r="C57" s="8"/>
      <c r="D57" s="8"/>
      <c r="E57" s="17">
        <f>E58+E59</f>
        <v>250.30399999999997</v>
      </c>
      <c r="F57" s="18">
        <f>F58+F59</f>
        <v>3351.8340000000003</v>
      </c>
    </row>
    <row r="58" spans="1:6" s="2" customFormat="1" ht="26.25" customHeight="1">
      <c r="A58" s="36" t="s">
        <v>16</v>
      </c>
      <c r="B58" s="34">
        <f t="shared" si="1"/>
        <v>917.776</v>
      </c>
      <c r="C58" s="10"/>
      <c r="D58" s="8"/>
      <c r="E58" s="11">
        <v>47.539</v>
      </c>
      <c r="F58" s="12">
        <v>870.237</v>
      </c>
    </row>
    <row r="59" spans="1:6" s="2" customFormat="1" ht="26.25" customHeight="1">
      <c r="A59" s="36" t="s">
        <v>17</v>
      </c>
      <c r="B59" s="34">
        <f t="shared" si="1"/>
        <v>2684.362</v>
      </c>
      <c r="C59" s="10"/>
      <c r="D59" s="8"/>
      <c r="E59" s="11">
        <v>202.765</v>
      </c>
      <c r="F59" s="12">
        <v>2481.597</v>
      </c>
    </row>
    <row r="60" spans="1:6" s="2" customFormat="1" ht="24.75" customHeight="1">
      <c r="A60" s="54" t="s">
        <v>39</v>
      </c>
      <c r="B60" s="34">
        <f t="shared" si="1"/>
        <v>173.712</v>
      </c>
      <c r="C60" s="10"/>
      <c r="D60" s="8"/>
      <c r="E60" s="8">
        <f>E61+E62</f>
        <v>77.184</v>
      </c>
      <c r="F60" s="9">
        <f>F61+F62</f>
        <v>96.528</v>
      </c>
    </row>
    <row r="61" spans="1:6" s="2" customFormat="1" ht="21.75" customHeight="1">
      <c r="A61" s="36" t="s">
        <v>18</v>
      </c>
      <c r="B61" s="34">
        <f t="shared" si="1"/>
        <v>173.712</v>
      </c>
      <c r="C61" s="8"/>
      <c r="D61" s="8"/>
      <c r="E61" s="17">
        <v>77.184</v>
      </c>
      <c r="F61" s="18">
        <v>96.528</v>
      </c>
    </row>
    <row r="62" spans="1:6" s="2" customFormat="1" ht="16.5" customHeight="1">
      <c r="A62" s="36" t="s">
        <v>15</v>
      </c>
      <c r="B62" s="34">
        <f t="shared" si="1"/>
        <v>0</v>
      </c>
      <c r="C62" s="8"/>
      <c r="D62" s="8"/>
      <c r="E62" s="17">
        <f>E63+E64</f>
        <v>0</v>
      </c>
      <c r="F62" s="18">
        <f>F63+F64</f>
        <v>0</v>
      </c>
    </row>
    <row r="63" spans="1:6" s="2" customFormat="1" ht="18" customHeight="1">
      <c r="A63" s="36" t="s">
        <v>16</v>
      </c>
      <c r="B63" s="34">
        <f t="shared" si="1"/>
        <v>0</v>
      </c>
      <c r="C63" s="10"/>
      <c r="D63" s="8"/>
      <c r="E63" s="10"/>
      <c r="F63" s="19"/>
    </row>
    <row r="64" spans="1:6" s="2" customFormat="1" ht="18" customHeight="1">
      <c r="A64" s="36" t="s">
        <v>17</v>
      </c>
      <c r="B64" s="34">
        <f t="shared" si="1"/>
        <v>0</v>
      </c>
      <c r="C64" s="10"/>
      <c r="D64" s="8"/>
      <c r="E64" s="10"/>
      <c r="F64" s="19"/>
    </row>
    <row r="65" spans="1:6" s="2" customFormat="1" ht="24.75" customHeight="1">
      <c r="A65" s="87" t="s">
        <v>4</v>
      </c>
      <c r="B65" s="34">
        <f t="shared" si="1"/>
        <v>795.54</v>
      </c>
      <c r="C65" s="17">
        <f>C66+C67</f>
        <v>795.54</v>
      </c>
      <c r="D65" s="8"/>
      <c r="E65" s="8"/>
      <c r="F65" s="9"/>
    </row>
    <row r="66" spans="1:6" s="2" customFormat="1" ht="21.75" customHeight="1">
      <c r="A66" s="36" t="s">
        <v>18</v>
      </c>
      <c r="B66" s="34">
        <f t="shared" si="1"/>
        <v>795.54</v>
      </c>
      <c r="C66" s="17">
        <v>795.54</v>
      </c>
      <c r="D66" s="8"/>
      <c r="E66" s="17">
        <f>E65-E67</f>
        <v>0</v>
      </c>
      <c r="F66" s="18">
        <f>F65-F67</f>
        <v>0</v>
      </c>
    </row>
    <row r="67" spans="1:6" s="2" customFormat="1" ht="18" customHeight="1">
      <c r="A67" s="36" t="s">
        <v>15</v>
      </c>
      <c r="B67" s="34">
        <f t="shared" si="1"/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</row>
    <row r="68" spans="1:6" s="2" customFormat="1" ht="19.5" customHeight="1">
      <c r="A68" s="36" t="s">
        <v>16</v>
      </c>
      <c r="B68" s="34">
        <f t="shared" si="1"/>
        <v>0</v>
      </c>
      <c r="C68" s="11"/>
      <c r="D68" s="8"/>
      <c r="E68" s="8"/>
      <c r="F68" s="9"/>
    </row>
    <row r="69" spans="1:6" s="2" customFormat="1" ht="19.5" customHeight="1" thickBot="1">
      <c r="A69" s="37" t="s">
        <v>17</v>
      </c>
      <c r="B69" s="35">
        <f t="shared" si="1"/>
        <v>0</v>
      </c>
      <c r="C69" s="16"/>
      <c r="D69" s="15"/>
      <c r="E69" s="15"/>
      <c r="F69" s="20"/>
    </row>
    <row r="70" spans="1:7" s="97" customFormat="1" ht="24.75" customHeight="1">
      <c r="A70" s="94" t="s">
        <v>26</v>
      </c>
      <c r="B70" s="95">
        <f aca="true" t="shared" si="2" ref="B70:B78">C70+D70+E70+F70</f>
        <v>282.1</v>
      </c>
      <c r="C70" s="55"/>
      <c r="D70" s="55"/>
      <c r="E70" s="56">
        <v>282.1</v>
      </c>
      <c r="F70" s="57"/>
      <c r="G70" s="96"/>
    </row>
    <row r="71" spans="1:6" s="97" customFormat="1" ht="18.75" customHeight="1">
      <c r="A71" s="54" t="s">
        <v>27</v>
      </c>
      <c r="B71" s="5">
        <f t="shared" si="2"/>
        <v>34.238</v>
      </c>
      <c r="C71" s="8"/>
      <c r="D71" s="8"/>
      <c r="E71" s="11">
        <v>34.238</v>
      </c>
      <c r="F71" s="9"/>
    </row>
    <row r="72" spans="1:7" s="97" customFormat="1" ht="26.25" customHeight="1">
      <c r="A72" s="54" t="s">
        <v>34</v>
      </c>
      <c r="B72" s="5">
        <f t="shared" si="2"/>
        <v>642.3380000000001</v>
      </c>
      <c r="C72" s="8"/>
      <c r="D72" s="8"/>
      <c r="E72" s="11">
        <v>564.363</v>
      </c>
      <c r="F72" s="12">
        <v>77.975</v>
      </c>
      <c r="G72" s="96"/>
    </row>
    <row r="73" spans="1:7" s="103" customFormat="1" ht="30" customHeight="1">
      <c r="A73" s="62" t="s">
        <v>35</v>
      </c>
      <c r="B73" s="5">
        <f t="shared" si="2"/>
        <v>1432</v>
      </c>
      <c r="C73" s="99">
        <v>1417.1</v>
      </c>
      <c r="D73" s="99"/>
      <c r="E73" s="99"/>
      <c r="F73" s="100">
        <v>14.9</v>
      </c>
      <c r="G73" s="102"/>
    </row>
    <row r="74" spans="1:7" s="97" customFormat="1" ht="26.25" customHeight="1">
      <c r="A74" s="54" t="s">
        <v>28</v>
      </c>
      <c r="B74" s="5">
        <f t="shared" si="2"/>
        <v>877.47</v>
      </c>
      <c r="C74" s="10">
        <v>540.857</v>
      </c>
      <c r="D74" s="10"/>
      <c r="E74" s="10">
        <v>272.706</v>
      </c>
      <c r="F74" s="19">
        <v>63.907</v>
      </c>
      <c r="G74" s="96"/>
    </row>
    <row r="75" spans="1:6" s="6" customFormat="1" ht="36" customHeight="1">
      <c r="A75" s="62" t="s">
        <v>29</v>
      </c>
      <c r="B75" s="104">
        <f t="shared" si="2"/>
        <v>621.792</v>
      </c>
      <c r="C75" s="60"/>
      <c r="D75" s="60"/>
      <c r="E75" s="60">
        <v>621.792</v>
      </c>
      <c r="F75" s="61"/>
    </row>
    <row r="76" spans="1:6" s="70" customFormat="1" ht="36" customHeight="1">
      <c r="A76" s="105" t="s">
        <v>30</v>
      </c>
      <c r="B76" s="104">
        <f t="shared" si="2"/>
        <v>67.054</v>
      </c>
      <c r="C76" s="60"/>
      <c r="D76" s="60"/>
      <c r="E76" s="60"/>
      <c r="F76" s="139">
        <v>67.054</v>
      </c>
    </row>
    <row r="77" spans="1:6" s="70" customFormat="1" ht="39" customHeight="1" thickBot="1">
      <c r="A77" s="106" t="s">
        <v>31</v>
      </c>
      <c r="B77" s="107">
        <f t="shared" si="2"/>
        <v>0</v>
      </c>
      <c r="C77" s="108"/>
      <c r="D77" s="108"/>
      <c r="E77" s="108"/>
      <c r="F77" s="109"/>
    </row>
    <row r="78" spans="1:6" s="6" customFormat="1" ht="25.5" customHeight="1" thickBot="1">
      <c r="A78" s="137" t="s">
        <v>12</v>
      </c>
      <c r="B78" s="111">
        <f t="shared" si="2"/>
        <v>135270.43599999996</v>
      </c>
      <c r="C78" s="112">
        <f>C5+C10+C15+C20+C25+C30+C35+C40+C45+C50+C55+C60+C65+C70+C71+C72+C73+C74+C75+C76+C77</f>
        <v>52301.59999999999</v>
      </c>
      <c r="D78" s="112">
        <f>D5+D10+D15+D20+D25+D30+D35+D40+D45+D50+D55+D60+D65+D70+D71+D72+D73+D74+D75+D76+D77</f>
        <v>2687.084</v>
      </c>
      <c r="E78" s="112">
        <f>E5+E10+E15+E20+E25+E30+E35+E40+E45+E50+E55+E60+E65+E70+E71+E72+E73+E74+E75+E76+E77</f>
        <v>36631.56799999999</v>
      </c>
      <c r="F78" s="112">
        <f>F5+F10+F15+F20+F25+F30+F35+F40+F45+F50+F55+F60+F65+F70+F71+F72+F73+F74+F75+F76+F77</f>
        <v>43650.18399999999</v>
      </c>
    </row>
    <row r="79" s="3" customFormat="1" ht="28.5" customHeight="1">
      <c r="B79" s="90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9" sqref="G39"/>
    </sheetView>
  </sheetViews>
  <sheetFormatPr defaultColWidth="9.00390625" defaultRowHeight="12.75"/>
  <cols>
    <col min="1" max="1" width="57.125" style="0" customWidth="1"/>
    <col min="2" max="6" width="25.25390625" style="0" customWidth="1"/>
    <col min="7" max="7" width="11.75390625" style="157" customWidth="1"/>
    <col min="8" max="8" width="27.00390625" style="157" customWidth="1"/>
    <col min="9" max="9" width="20.625" style="157" customWidth="1"/>
    <col min="10" max="16384" width="9.125" style="157" customWidth="1"/>
  </cols>
  <sheetData>
    <row r="1" spans="1:6" ht="23.25">
      <c r="A1" s="238" t="s">
        <v>44</v>
      </c>
      <c r="B1" s="238"/>
      <c r="C1" s="238"/>
      <c r="D1" s="238"/>
      <c r="E1" s="238"/>
      <c r="F1" s="238"/>
    </row>
    <row r="2" spans="1:6" s="163" customFormat="1" ht="23.25">
      <c r="A2" s="239" t="s">
        <v>55</v>
      </c>
      <c r="B2" s="239"/>
      <c r="C2" s="239"/>
      <c r="D2" s="240"/>
      <c r="E2" s="240"/>
      <c r="F2" s="240"/>
    </row>
    <row r="3" spans="1:6" ht="18.75" thickBot="1">
      <c r="A3" s="3"/>
      <c r="B3" s="3"/>
      <c r="C3" s="3"/>
      <c r="D3" s="3"/>
      <c r="E3" s="3"/>
      <c r="F3" s="141" t="s">
        <v>42</v>
      </c>
    </row>
    <row r="4" spans="1:8" s="165" customFormat="1" ht="29.25" customHeight="1" thickBot="1">
      <c r="A4" s="78" t="s">
        <v>25</v>
      </c>
      <c r="B4" s="122"/>
      <c r="C4" s="92" t="s">
        <v>0</v>
      </c>
      <c r="D4" s="92" t="s">
        <v>1</v>
      </c>
      <c r="E4" s="92" t="s">
        <v>2</v>
      </c>
      <c r="F4" s="93" t="s">
        <v>3</v>
      </c>
      <c r="G4" s="7"/>
      <c r="H4" s="164"/>
    </row>
    <row r="5" spans="1:8" s="4" customFormat="1" ht="44.25" customHeight="1">
      <c r="A5" s="82" t="s">
        <v>7</v>
      </c>
      <c r="B5" s="114">
        <f aca="true" t="shared" si="0" ref="B5:B69">C5+D5+E5+F5</f>
        <v>73810.994</v>
      </c>
      <c r="C5" s="115">
        <f>C6+C7</f>
        <v>34932.856</v>
      </c>
      <c r="D5" s="115">
        <f>D6+D7</f>
        <v>1112.384</v>
      </c>
      <c r="E5" s="115">
        <f>E6+E7</f>
        <v>17217.61</v>
      </c>
      <c r="F5" s="116">
        <f>F6+F7</f>
        <v>20548.144</v>
      </c>
      <c r="G5" s="13"/>
      <c r="H5" s="32"/>
    </row>
    <row r="6" spans="1:9" s="4" customFormat="1" ht="27" customHeight="1">
      <c r="A6" s="36" t="s">
        <v>18</v>
      </c>
      <c r="B6" s="34">
        <f t="shared" si="0"/>
        <v>59372.62100000001</v>
      </c>
      <c r="C6" s="8">
        <v>34688.817</v>
      </c>
      <c r="D6" s="8">
        <v>1111.374</v>
      </c>
      <c r="E6" s="8">
        <v>16368.951</v>
      </c>
      <c r="F6" s="9">
        <v>7203.479</v>
      </c>
      <c r="G6" s="13"/>
      <c r="H6" s="32"/>
      <c r="I6" s="32"/>
    </row>
    <row r="7" spans="1:8" s="4" customFormat="1" ht="20.25" customHeight="1">
      <c r="A7" s="36" t="s">
        <v>15</v>
      </c>
      <c r="B7" s="34">
        <f t="shared" si="0"/>
        <v>14438.373</v>
      </c>
      <c r="C7" s="8">
        <f>C8+C9</f>
        <v>244.039</v>
      </c>
      <c r="D7" s="17">
        <f>D8+D9</f>
        <v>1.01</v>
      </c>
      <c r="E7" s="17">
        <f>E8+E9</f>
        <v>848.6590000000001</v>
      </c>
      <c r="F7" s="18">
        <f>F8+F9</f>
        <v>13344.664999999999</v>
      </c>
      <c r="G7" s="13"/>
      <c r="H7" s="32"/>
    </row>
    <row r="8" spans="1:8" s="4" customFormat="1" ht="21.75" customHeight="1">
      <c r="A8" s="36" t="s">
        <v>16</v>
      </c>
      <c r="B8" s="34">
        <f t="shared" si="0"/>
        <v>3940.297</v>
      </c>
      <c r="C8" s="11">
        <v>49.201</v>
      </c>
      <c r="D8" s="11"/>
      <c r="E8" s="11">
        <v>76.089</v>
      </c>
      <c r="F8" s="12">
        <v>3815.007</v>
      </c>
      <c r="G8" s="13"/>
      <c r="H8" s="32"/>
    </row>
    <row r="9" spans="1:8" s="4" customFormat="1" ht="24.75" customHeight="1">
      <c r="A9" s="36" t="s">
        <v>17</v>
      </c>
      <c r="B9" s="34">
        <f t="shared" si="0"/>
        <v>10498.076</v>
      </c>
      <c r="C9" s="11">
        <v>194.838</v>
      </c>
      <c r="D9" s="11">
        <v>1.01</v>
      </c>
      <c r="E9" s="11">
        <v>772.57</v>
      </c>
      <c r="F9" s="12">
        <v>9529.658</v>
      </c>
      <c r="G9" s="7"/>
      <c r="H9" s="73"/>
    </row>
    <row r="10" spans="1:8" s="4" customFormat="1" ht="47.25" customHeight="1">
      <c r="A10" s="86" t="s">
        <v>13</v>
      </c>
      <c r="B10" s="34">
        <f t="shared" si="0"/>
        <v>4331.607</v>
      </c>
      <c r="C10" s="17">
        <f>C11+C12</f>
        <v>537.33</v>
      </c>
      <c r="D10" s="17"/>
      <c r="E10" s="17">
        <f>E11+E12</f>
        <v>1428.9299999999998</v>
      </c>
      <c r="F10" s="18">
        <f>F11+F12</f>
        <v>2365.3469999999998</v>
      </c>
      <c r="G10" s="13"/>
      <c r="H10" s="73"/>
    </row>
    <row r="11" spans="1:8" s="4" customFormat="1" ht="21.75" customHeight="1">
      <c r="A11" s="36" t="s">
        <v>18</v>
      </c>
      <c r="B11" s="34">
        <f t="shared" si="0"/>
        <v>2633.117</v>
      </c>
      <c r="C11" s="8">
        <v>481.422</v>
      </c>
      <c r="D11" s="8"/>
      <c r="E11" s="8">
        <v>1206.187</v>
      </c>
      <c r="F11" s="9">
        <v>945.508</v>
      </c>
      <c r="G11" s="13"/>
      <c r="H11" s="73"/>
    </row>
    <row r="12" spans="1:8" s="4" customFormat="1" ht="19.5" customHeight="1">
      <c r="A12" s="36" t="s">
        <v>15</v>
      </c>
      <c r="B12" s="34">
        <f t="shared" si="0"/>
        <v>1698.49</v>
      </c>
      <c r="C12" s="17">
        <f>C13+C14</f>
        <v>55.908</v>
      </c>
      <c r="D12" s="8"/>
      <c r="E12" s="17">
        <f>E13+E14</f>
        <v>222.743</v>
      </c>
      <c r="F12" s="18">
        <f>F13+F14</f>
        <v>1419.839</v>
      </c>
      <c r="G12" s="13"/>
      <c r="H12" s="73"/>
    </row>
    <row r="13" spans="1:8" s="4" customFormat="1" ht="17.25" customHeight="1">
      <c r="A13" s="36" t="s">
        <v>16</v>
      </c>
      <c r="B13" s="34">
        <f t="shared" si="0"/>
        <v>992.0160000000001</v>
      </c>
      <c r="C13" s="11"/>
      <c r="D13" s="11"/>
      <c r="E13" s="11">
        <v>41.619</v>
      </c>
      <c r="F13" s="12">
        <v>950.397</v>
      </c>
      <c r="G13" s="13"/>
      <c r="H13" s="73"/>
    </row>
    <row r="14" spans="1:8" s="4" customFormat="1" ht="17.25" customHeight="1">
      <c r="A14" s="36" t="s">
        <v>17</v>
      </c>
      <c r="B14" s="34">
        <f t="shared" si="0"/>
        <v>706.4739999999999</v>
      </c>
      <c r="C14" s="11">
        <v>55.908</v>
      </c>
      <c r="D14" s="11"/>
      <c r="E14" s="11">
        <v>181.124</v>
      </c>
      <c r="F14" s="12">
        <v>469.442</v>
      </c>
      <c r="G14" s="13"/>
      <c r="H14" s="73"/>
    </row>
    <row r="15" spans="1:8" s="4" customFormat="1" ht="35.25" customHeight="1">
      <c r="A15" s="86" t="s">
        <v>6</v>
      </c>
      <c r="B15" s="34">
        <f t="shared" si="0"/>
        <v>1373.073</v>
      </c>
      <c r="C15" s="17">
        <f>C16+C17</f>
        <v>1373.073</v>
      </c>
      <c r="D15" s="8"/>
      <c r="E15" s="8"/>
      <c r="F15" s="9"/>
      <c r="G15" s="7"/>
      <c r="H15" s="40"/>
    </row>
    <row r="16" spans="1:8" s="4" customFormat="1" ht="19.5" customHeight="1">
      <c r="A16" s="36" t="s">
        <v>18</v>
      </c>
      <c r="B16" s="34">
        <f t="shared" si="0"/>
        <v>1373.016</v>
      </c>
      <c r="C16" s="8">
        <v>1373.016</v>
      </c>
      <c r="D16" s="8"/>
      <c r="E16" s="17"/>
      <c r="F16" s="18"/>
      <c r="G16" s="7"/>
      <c r="H16" s="40"/>
    </row>
    <row r="17" spans="1:8" s="4" customFormat="1" ht="18" customHeight="1">
      <c r="A17" s="36" t="s">
        <v>15</v>
      </c>
      <c r="B17" s="34">
        <f t="shared" si="0"/>
        <v>0.057</v>
      </c>
      <c r="C17" s="17">
        <f>C18+C19</f>
        <v>0.057</v>
      </c>
      <c r="D17" s="8"/>
      <c r="E17" s="17"/>
      <c r="F17" s="18"/>
      <c r="G17" s="7"/>
      <c r="H17" s="40"/>
    </row>
    <row r="18" spans="1:8" s="4" customFormat="1" ht="19.5" customHeight="1">
      <c r="A18" s="36" t="s">
        <v>16</v>
      </c>
      <c r="B18" s="34">
        <f t="shared" si="0"/>
        <v>0.057</v>
      </c>
      <c r="C18" s="11">
        <v>0.057</v>
      </c>
      <c r="D18" s="11"/>
      <c r="E18" s="11"/>
      <c r="F18" s="12"/>
      <c r="G18" s="7"/>
      <c r="H18" s="40"/>
    </row>
    <row r="19" spans="1:8" s="4" customFormat="1" ht="19.5" customHeight="1">
      <c r="A19" s="36" t="s">
        <v>17</v>
      </c>
      <c r="B19" s="34">
        <f t="shared" si="0"/>
        <v>0</v>
      </c>
      <c r="C19" s="11"/>
      <c r="D19" s="11"/>
      <c r="E19" s="11"/>
      <c r="F19" s="12"/>
      <c r="G19" s="7"/>
      <c r="H19" s="40"/>
    </row>
    <row r="20" spans="1:8" s="4" customFormat="1" ht="51" customHeight="1">
      <c r="A20" s="86" t="s">
        <v>36</v>
      </c>
      <c r="B20" s="34">
        <f t="shared" si="0"/>
        <v>160.904</v>
      </c>
      <c r="C20" s="17">
        <f>C21+C22</f>
        <v>15.646</v>
      </c>
      <c r="D20" s="17">
        <f>D21+D22</f>
        <v>44.367</v>
      </c>
      <c r="E20" s="17">
        <f>E21+E22</f>
        <v>31.38</v>
      </c>
      <c r="F20" s="18">
        <f>F21+F22</f>
        <v>69.511</v>
      </c>
      <c r="G20" s="13"/>
      <c r="H20" s="73"/>
    </row>
    <row r="21" spans="1:8" s="4" customFormat="1" ht="21.75" customHeight="1">
      <c r="A21" s="36" t="s">
        <v>18</v>
      </c>
      <c r="B21" s="34">
        <f t="shared" si="0"/>
        <v>144.144</v>
      </c>
      <c r="C21" s="169">
        <v>15.646</v>
      </c>
      <c r="D21" s="169">
        <v>44.367</v>
      </c>
      <c r="E21" s="169">
        <v>31.38</v>
      </c>
      <c r="F21" s="170">
        <v>52.751</v>
      </c>
      <c r="G21" s="13"/>
      <c r="H21" s="73"/>
    </row>
    <row r="22" spans="1:8" s="4" customFormat="1" ht="21" customHeight="1">
      <c r="A22" s="36" t="s">
        <v>15</v>
      </c>
      <c r="B22" s="34">
        <f t="shared" si="0"/>
        <v>16.76</v>
      </c>
      <c r="C22" s="17"/>
      <c r="D22" s="17"/>
      <c r="E22" s="17">
        <f>E23+E24</f>
        <v>0</v>
      </c>
      <c r="F22" s="18">
        <f>F23+F24</f>
        <v>16.76</v>
      </c>
      <c r="G22" s="13"/>
      <c r="H22" s="73"/>
    </row>
    <row r="23" spans="1:8" s="4" customFormat="1" ht="21.75" customHeight="1">
      <c r="A23" s="36" t="s">
        <v>16</v>
      </c>
      <c r="B23" s="34">
        <f t="shared" si="0"/>
        <v>16.76</v>
      </c>
      <c r="C23" s="25"/>
      <c r="D23" s="25"/>
      <c r="E23" s="25"/>
      <c r="F23" s="171">
        <v>16.76</v>
      </c>
      <c r="G23" s="13"/>
      <c r="H23" s="73"/>
    </row>
    <row r="24" spans="1:8" s="4" customFormat="1" ht="21" customHeight="1">
      <c r="A24" s="36" t="s">
        <v>17</v>
      </c>
      <c r="B24" s="34">
        <f t="shared" si="0"/>
        <v>0</v>
      </c>
      <c r="C24" s="11"/>
      <c r="D24" s="11"/>
      <c r="E24" s="11"/>
      <c r="F24" s="12"/>
      <c r="G24" s="13"/>
      <c r="H24" s="73"/>
    </row>
    <row r="25" spans="1:8" s="4" customFormat="1" ht="41.25" customHeight="1">
      <c r="A25" s="86" t="s">
        <v>8</v>
      </c>
      <c r="B25" s="34">
        <f t="shared" si="0"/>
        <v>11749.071</v>
      </c>
      <c r="C25" s="17">
        <f>C26+C27</f>
        <v>6931.28</v>
      </c>
      <c r="D25" s="17"/>
      <c r="E25" s="17">
        <f>E26+E27</f>
        <v>1713.899</v>
      </c>
      <c r="F25" s="18">
        <f>F26+F27</f>
        <v>3103.8920000000003</v>
      </c>
      <c r="G25" s="13"/>
      <c r="H25" s="73"/>
    </row>
    <row r="26" spans="1:8" s="4" customFormat="1" ht="19.5" customHeight="1">
      <c r="A26" s="36" t="s">
        <v>18</v>
      </c>
      <c r="B26" s="34">
        <f t="shared" si="0"/>
        <v>9586.517</v>
      </c>
      <c r="C26" s="8">
        <v>6931.28</v>
      </c>
      <c r="D26" s="8"/>
      <c r="E26" s="17">
        <v>1681.356</v>
      </c>
      <c r="F26" s="18">
        <v>973.881</v>
      </c>
      <c r="G26" s="13"/>
      <c r="H26" s="73"/>
    </row>
    <row r="27" spans="1:8" s="4" customFormat="1" ht="24.75" customHeight="1">
      <c r="A27" s="36" t="s">
        <v>15</v>
      </c>
      <c r="B27" s="34">
        <f t="shared" si="0"/>
        <v>2162.5540000000005</v>
      </c>
      <c r="C27" s="8"/>
      <c r="D27" s="8"/>
      <c r="E27" s="17">
        <f>E28+E29</f>
        <v>32.543</v>
      </c>
      <c r="F27" s="18">
        <f>F28+F29</f>
        <v>2130.0110000000004</v>
      </c>
      <c r="G27" s="13"/>
      <c r="H27" s="73"/>
    </row>
    <row r="28" spans="1:8" s="4" customFormat="1" ht="25.5" customHeight="1">
      <c r="A28" s="36" t="s">
        <v>16</v>
      </c>
      <c r="B28" s="34">
        <f t="shared" si="0"/>
        <v>2136.6780000000003</v>
      </c>
      <c r="C28" s="11"/>
      <c r="D28" s="11"/>
      <c r="E28" s="11">
        <v>32.543</v>
      </c>
      <c r="F28" s="12">
        <f>2056.791+47.344</f>
        <v>2104.135</v>
      </c>
      <c r="G28" s="13"/>
      <c r="H28" s="73"/>
    </row>
    <row r="29" spans="1:8" s="4" customFormat="1" ht="20.25" customHeight="1">
      <c r="A29" s="36" t="s">
        <v>17</v>
      </c>
      <c r="B29" s="34">
        <f t="shared" si="0"/>
        <v>25.876</v>
      </c>
      <c r="C29" s="11"/>
      <c r="D29" s="11"/>
      <c r="E29" s="11"/>
      <c r="F29" s="12">
        <v>25.876</v>
      </c>
      <c r="G29" s="13"/>
      <c r="H29" s="73"/>
    </row>
    <row r="30" spans="1:8" s="4" customFormat="1" ht="50.25" customHeight="1">
      <c r="A30" s="86" t="s">
        <v>9</v>
      </c>
      <c r="B30" s="34">
        <f t="shared" si="0"/>
        <v>112.848</v>
      </c>
      <c r="C30" s="17"/>
      <c r="D30" s="17"/>
      <c r="E30" s="17">
        <f>E31+E32</f>
        <v>70.187</v>
      </c>
      <c r="F30" s="18">
        <f>F31+F32</f>
        <v>42.661</v>
      </c>
      <c r="G30" s="7"/>
      <c r="H30" s="40"/>
    </row>
    <row r="31" spans="1:8" s="4" customFormat="1" ht="22.5" customHeight="1">
      <c r="A31" s="36" t="s">
        <v>18</v>
      </c>
      <c r="B31" s="34">
        <f t="shared" si="0"/>
        <v>87.902</v>
      </c>
      <c r="C31" s="8"/>
      <c r="D31" s="8"/>
      <c r="E31" s="17">
        <v>70.187</v>
      </c>
      <c r="F31" s="18">
        <v>17.715</v>
      </c>
      <c r="G31" s="7"/>
      <c r="H31" s="40"/>
    </row>
    <row r="32" spans="1:8" s="4" customFormat="1" ht="24.75" customHeight="1">
      <c r="A32" s="36" t="s">
        <v>15</v>
      </c>
      <c r="B32" s="34">
        <f t="shared" si="0"/>
        <v>24.945999999999998</v>
      </c>
      <c r="C32" s="8"/>
      <c r="D32" s="8"/>
      <c r="E32" s="17">
        <f>E33+E34</f>
        <v>0</v>
      </c>
      <c r="F32" s="18">
        <f>F33+F34</f>
        <v>24.945999999999998</v>
      </c>
      <c r="G32" s="7"/>
      <c r="H32" s="40"/>
    </row>
    <row r="33" spans="1:8" s="4" customFormat="1" ht="18" customHeight="1">
      <c r="A33" s="36" t="s">
        <v>16</v>
      </c>
      <c r="B33" s="34">
        <f t="shared" si="0"/>
        <v>20.625</v>
      </c>
      <c r="C33" s="11"/>
      <c r="D33" s="11"/>
      <c r="E33" s="11"/>
      <c r="F33" s="12">
        <v>20.625</v>
      </c>
      <c r="G33" s="7"/>
      <c r="H33" s="40"/>
    </row>
    <row r="34" spans="1:8" s="4" customFormat="1" ht="18" customHeight="1">
      <c r="A34" s="36" t="s">
        <v>17</v>
      </c>
      <c r="B34" s="34">
        <f t="shared" si="0"/>
        <v>4.321</v>
      </c>
      <c r="C34" s="11"/>
      <c r="D34" s="11"/>
      <c r="E34" s="11"/>
      <c r="F34" s="12">
        <v>4.321</v>
      </c>
      <c r="G34" s="7"/>
      <c r="H34" s="40"/>
    </row>
    <row r="35" spans="1:8" s="4" customFormat="1" ht="25.5" customHeight="1">
      <c r="A35" s="86" t="s">
        <v>32</v>
      </c>
      <c r="B35" s="34">
        <f t="shared" si="0"/>
        <v>83.71199999999999</v>
      </c>
      <c r="C35" s="17">
        <f>C36+C37</f>
        <v>52.48</v>
      </c>
      <c r="D35" s="23"/>
      <c r="E35" s="17">
        <f>E36+E37</f>
        <v>31.232</v>
      </c>
      <c r="F35" s="18">
        <f>F36+F37</f>
        <v>0</v>
      </c>
      <c r="G35" s="7"/>
      <c r="H35" s="40"/>
    </row>
    <row r="36" spans="1:8" s="4" customFormat="1" ht="23.25" customHeight="1">
      <c r="A36" s="36" t="s">
        <v>18</v>
      </c>
      <c r="B36" s="34">
        <f t="shared" si="0"/>
        <v>72.37899999999999</v>
      </c>
      <c r="C36" s="8">
        <v>52.48</v>
      </c>
      <c r="D36" s="8"/>
      <c r="E36" s="8">
        <v>19.899</v>
      </c>
      <c r="F36" s="9"/>
      <c r="G36" s="7"/>
      <c r="H36" s="40"/>
    </row>
    <row r="37" spans="1:8" s="4" customFormat="1" ht="23.25" customHeight="1">
      <c r="A37" s="36" t="s">
        <v>15</v>
      </c>
      <c r="B37" s="34">
        <f t="shared" si="0"/>
        <v>11.333</v>
      </c>
      <c r="C37" s="17">
        <f>C38+C39</f>
        <v>0</v>
      </c>
      <c r="D37" s="8"/>
      <c r="E37" s="17">
        <f>E38+E39</f>
        <v>11.333</v>
      </c>
      <c r="F37" s="18"/>
      <c r="G37" s="7"/>
      <c r="H37" s="40"/>
    </row>
    <row r="38" spans="1:8" s="4" customFormat="1" ht="23.25" customHeight="1">
      <c r="A38" s="36" t="s">
        <v>16</v>
      </c>
      <c r="B38" s="34">
        <f t="shared" si="0"/>
        <v>0</v>
      </c>
      <c r="C38" s="23"/>
      <c r="D38" s="23"/>
      <c r="E38" s="23"/>
      <c r="F38" s="26"/>
      <c r="G38" s="7"/>
      <c r="H38" s="40"/>
    </row>
    <row r="39" spans="1:8" s="4" customFormat="1" ht="23.25" customHeight="1">
      <c r="A39" s="36" t="s">
        <v>17</v>
      </c>
      <c r="B39" s="34">
        <f t="shared" si="0"/>
        <v>11.333</v>
      </c>
      <c r="C39" s="23"/>
      <c r="D39" s="23"/>
      <c r="E39" s="23">
        <v>11.333</v>
      </c>
      <c r="F39" s="26"/>
      <c r="G39" s="7"/>
      <c r="H39" s="40"/>
    </row>
    <row r="40" spans="1:9" s="4" customFormat="1" ht="42" customHeight="1">
      <c r="A40" s="86" t="s">
        <v>33</v>
      </c>
      <c r="B40" s="34">
        <f t="shared" si="0"/>
        <v>31.198</v>
      </c>
      <c r="C40" s="23">
        <f>C41+C42</f>
        <v>0.902</v>
      </c>
      <c r="D40" s="23"/>
      <c r="E40" s="23">
        <f>E41+E42</f>
        <v>30.296</v>
      </c>
      <c r="F40" s="18"/>
      <c r="G40" s="7"/>
      <c r="H40" s="73"/>
      <c r="I40" s="7"/>
    </row>
    <row r="41" spans="1:8" s="4" customFormat="1" ht="19.5" customHeight="1">
      <c r="A41" s="36" t="s">
        <v>18</v>
      </c>
      <c r="B41" s="34">
        <f t="shared" si="0"/>
        <v>31.198</v>
      </c>
      <c r="C41" s="8">
        <v>0.902</v>
      </c>
      <c r="D41" s="8"/>
      <c r="E41" s="8">
        <v>30.296</v>
      </c>
      <c r="F41" s="9"/>
      <c r="G41" s="7"/>
      <c r="H41" s="73"/>
    </row>
    <row r="42" spans="1:8" s="4" customFormat="1" ht="19.5" customHeight="1">
      <c r="A42" s="36" t="s">
        <v>15</v>
      </c>
      <c r="B42" s="34">
        <f t="shared" si="0"/>
        <v>0</v>
      </c>
      <c r="C42" s="8"/>
      <c r="D42" s="8"/>
      <c r="E42" s="17">
        <f>E43+E44</f>
        <v>0</v>
      </c>
      <c r="F42" s="18">
        <f>F43+F44</f>
        <v>0</v>
      </c>
      <c r="G42" s="7"/>
      <c r="H42" s="73"/>
    </row>
    <row r="43" spans="1:8" s="4" customFormat="1" ht="19.5" customHeight="1">
      <c r="A43" s="36" t="s">
        <v>16</v>
      </c>
      <c r="B43" s="34">
        <f t="shared" si="0"/>
        <v>0</v>
      </c>
      <c r="C43" s="23"/>
      <c r="D43" s="23"/>
      <c r="E43" s="23"/>
      <c r="F43" s="26"/>
      <c r="G43" s="7"/>
      <c r="H43" s="73"/>
    </row>
    <row r="44" spans="1:8" s="4" customFormat="1" ht="19.5" customHeight="1">
      <c r="A44" s="36" t="s">
        <v>17</v>
      </c>
      <c r="B44" s="34">
        <f t="shared" si="0"/>
        <v>0</v>
      </c>
      <c r="C44" s="23"/>
      <c r="D44" s="23"/>
      <c r="E44" s="23"/>
      <c r="F44" s="26"/>
      <c r="G44" s="7"/>
      <c r="H44" s="73"/>
    </row>
    <row r="45" spans="1:8" s="4" customFormat="1" ht="24.75" customHeight="1">
      <c r="A45" s="86" t="s">
        <v>10</v>
      </c>
      <c r="B45" s="34">
        <f t="shared" si="0"/>
        <v>806.914</v>
      </c>
      <c r="C45" s="17"/>
      <c r="D45" s="8"/>
      <c r="E45" s="17">
        <f>E46+E47</f>
        <v>353.133</v>
      </c>
      <c r="F45" s="18">
        <f>F46+F47</f>
        <v>453.781</v>
      </c>
      <c r="G45" s="13"/>
      <c r="H45" s="32"/>
    </row>
    <row r="46" spans="1:8" s="4" customFormat="1" ht="24.75" customHeight="1">
      <c r="A46" s="36" t="s">
        <v>18</v>
      </c>
      <c r="B46" s="34">
        <f t="shared" si="0"/>
        <v>422.596</v>
      </c>
      <c r="C46" s="8"/>
      <c r="D46" s="8"/>
      <c r="E46" s="17">
        <v>349.421</v>
      </c>
      <c r="F46" s="18">
        <v>73.175</v>
      </c>
      <c r="G46" s="13"/>
      <c r="H46" s="32"/>
    </row>
    <row r="47" spans="1:8" s="4" customFormat="1" ht="24.75" customHeight="1">
      <c r="A47" s="36" t="s">
        <v>15</v>
      </c>
      <c r="B47" s="34">
        <f t="shared" si="0"/>
        <v>384.318</v>
      </c>
      <c r="C47" s="8"/>
      <c r="D47" s="8"/>
      <c r="E47" s="17">
        <f>E48+E49</f>
        <v>3.712</v>
      </c>
      <c r="F47" s="18">
        <f>F48+F49</f>
        <v>380.606</v>
      </c>
      <c r="G47" s="13"/>
      <c r="H47" s="32"/>
    </row>
    <row r="48" spans="1:8" s="4" customFormat="1" ht="24.75" customHeight="1">
      <c r="A48" s="36" t="s">
        <v>16</v>
      </c>
      <c r="B48" s="34">
        <f t="shared" si="0"/>
        <v>302.32700000000006</v>
      </c>
      <c r="C48" s="8"/>
      <c r="D48" s="8"/>
      <c r="E48" s="11">
        <v>2.958</v>
      </c>
      <c r="F48" s="12">
        <f>287.149+12.22</f>
        <v>299.369</v>
      </c>
      <c r="G48" s="13"/>
      <c r="H48" s="32"/>
    </row>
    <row r="49" spans="1:8" s="4" customFormat="1" ht="24.75" customHeight="1">
      <c r="A49" s="36" t="s">
        <v>17</v>
      </c>
      <c r="B49" s="34">
        <f t="shared" si="0"/>
        <v>81.991</v>
      </c>
      <c r="C49" s="8"/>
      <c r="D49" s="8"/>
      <c r="E49" s="11">
        <v>0.754</v>
      </c>
      <c r="F49" s="12">
        <v>81.237</v>
      </c>
      <c r="G49" s="13"/>
      <c r="H49" s="32"/>
    </row>
    <row r="50" spans="1:8" s="4" customFormat="1" ht="24.75" customHeight="1">
      <c r="A50" s="86" t="s">
        <v>5</v>
      </c>
      <c r="B50" s="34">
        <f t="shared" si="0"/>
        <v>1963.266</v>
      </c>
      <c r="C50" s="17">
        <f>C51+C52</f>
        <v>353.164</v>
      </c>
      <c r="D50" s="8"/>
      <c r="E50" s="17">
        <f>E51+E52</f>
        <v>908.711</v>
      </c>
      <c r="F50" s="18">
        <f>F51+F52</f>
        <v>701.3910000000001</v>
      </c>
      <c r="G50" s="13"/>
      <c r="H50" s="32"/>
    </row>
    <row r="51" spans="1:8" s="4" customFormat="1" ht="24.75" customHeight="1">
      <c r="A51" s="36" t="s">
        <v>18</v>
      </c>
      <c r="B51" s="34">
        <f t="shared" si="0"/>
        <v>1142.855</v>
      </c>
      <c r="C51" s="17">
        <v>353.164</v>
      </c>
      <c r="D51" s="8"/>
      <c r="E51" s="17">
        <v>489.692</v>
      </c>
      <c r="F51" s="18">
        <v>299.999</v>
      </c>
      <c r="G51" s="13"/>
      <c r="H51" s="32"/>
    </row>
    <row r="52" spans="1:8" s="4" customFormat="1" ht="24.75" customHeight="1">
      <c r="A52" s="36" t="s">
        <v>15</v>
      </c>
      <c r="B52" s="34">
        <f t="shared" si="0"/>
        <v>820.4110000000001</v>
      </c>
      <c r="C52" s="8"/>
      <c r="D52" s="8"/>
      <c r="E52" s="17">
        <f>E53+E54</f>
        <v>419.019</v>
      </c>
      <c r="F52" s="18">
        <f>F53+F54</f>
        <v>401.392</v>
      </c>
      <c r="G52" s="13"/>
      <c r="H52" s="32"/>
    </row>
    <row r="53" spans="1:8" s="4" customFormat="1" ht="24.75" customHeight="1">
      <c r="A53" s="36" t="s">
        <v>16</v>
      </c>
      <c r="B53" s="34">
        <f t="shared" si="0"/>
        <v>817.2909999999999</v>
      </c>
      <c r="C53" s="11"/>
      <c r="D53" s="11"/>
      <c r="E53" s="11">
        <f>405.851+10.048</f>
        <v>415.899</v>
      </c>
      <c r="F53" s="12">
        <v>401.392</v>
      </c>
      <c r="G53" s="13"/>
      <c r="H53" s="32"/>
    </row>
    <row r="54" spans="1:8" s="4" customFormat="1" ht="24.75" customHeight="1">
      <c r="A54" s="36" t="s">
        <v>17</v>
      </c>
      <c r="B54" s="34">
        <f t="shared" si="0"/>
        <v>3.12</v>
      </c>
      <c r="C54" s="11"/>
      <c r="D54" s="11"/>
      <c r="E54" s="11">
        <v>3.12</v>
      </c>
      <c r="F54" s="12"/>
      <c r="G54" s="13"/>
      <c r="H54" s="32"/>
    </row>
    <row r="55" spans="1:8" s="4" customFormat="1" ht="50.25" customHeight="1">
      <c r="A55" s="86" t="s">
        <v>11</v>
      </c>
      <c r="B55" s="34">
        <f t="shared" si="0"/>
        <v>5062.07</v>
      </c>
      <c r="C55" s="17"/>
      <c r="D55" s="8"/>
      <c r="E55" s="17">
        <f>E56+E57</f>
        <v>1177.58</v>
      </c>
      <c r="F55" s="18">
        <f>F56+F57</f>
        <v>3884.49</v>
      </c>
      <c r="G55" s="13"/>
      <c r="H55" s="32"/>
    </row>
    <row r="56" spans="1:8" s="4" customFormat="1" ht="26.25" customHeight="1">
      <c r="A56" s="36" t="s">
        <v>18</v>
      </c>
      <c r="B56" s="34">
        <f t="shared" si="0"/>
        <v>2452.049</v>
      </c>
      <c r="C56" s="8"/>
      <c r="D56" s="8"/>
      <c r="E56" s="17">
        <v>1071.432</v>
      </c>
      <c r="F56" s="18">
        <v>1380.617</v>
      </c>
      <c r="G56" s="13"/>
      <c r="H56" s="32"/>
    </row>
    <row r="57" spans="1:8" s="4" customFormat="1" ht="26.25" customHeight="1">
      <c r="A57" s="36" t="s">
        <v>15</v>
      </c>
      <c r="B57" s="34">
        <f t="shared" si="0"/>
        <v>2610.021</v>
      </c>
      <c r="C57" s="8"/>
      <c r="D57" s="8"/>
      <c r="E57" s="17">
        <f>E58+E59</f>
        <v>106.148</v>
      </c>
      <c r="F57" s="18">
        <f>F58+F59</f>
        <v>2503.873</v>
      </c>
      <c r="G57" s="13"/>
      <c r="H57" s="32"/>
    </row>
    <row r="58" spans="1:8" s="4" customFormat="1" ht="26.25" customHeight="1">
      <c r="A58" s="36" t="s">
        <v>16</v>
      </c>
      <c r="B58" s="34">
        <f t="shared" si="0"/>
        <v>629.129</v>
      </c>
      <c r="C58" s="10"/>
      <c r="D58" s="8"/>
      <c r="E58" s="11">
        <v>17.955</v>
      </c>
      <c r="F58" s="12">
        <v>611.174</v>
      </c>
      <c r="G58" s="13"/>
      <c r="H58" s="32"/>
    </row>
    <row r="59" spans="1:8" s="4" customFormat="1" ht="26.25" customHeight="1">
      <c r="A59" s="36" t="s">
        <v>17</v>
      </c>
      <c r="B59" s="34">
        <f t="shared" si="0"/>
        <v>1980.892</v>
      </c>
      <c r="C59" s="10"/>
      <c r="D59" s="8"/>
      <c r="E59" s="11">
        <v>88.193</v>
      </c>
      <c r="F59" s="12">
        <v>1892.699</v>
      </c>
      <c r="G59" s="13"/>
      <c r="H59" s="32"/>
    </row>
    <row r="60" spans="1:8" s="4" customFormat="1" ht="24.75" customHeight="1">
      <c r="A60" s="87" t="s">
        <v>39</v>
      </c>
      <c r="B60" s="34">
        <f t="shared" si="0"/>
        <v>156.48399999999998</v>
      </c>
      <c r="C60" s="10"/>
      <c r="D60" s="8"/>
      <c r="E60" s="17">
        <f>E61+E62</f>
        <v>80.568</v>
      </c>
      <c r="F60" s="18">
        <f>F61+F62</f>
        <v>75.916</v>
      </c>
      <c r="G60" s="7"/>
      <c r="H60" s="32"/>
    </row>
    <row r="61" spans="1:8" s="4" customFormat="1" ht="21.75" customHeight="1">
      <c r="A61" s="36" t="s">
        <v>18</v>
      </c>
      <c r="B61" s="34">
        <f t="shared" si="0"/>
        <v>156.48399999999998</v>
      </c>
      <c r="C61" s="8"/>
      <c r="D61" s="8"/>
      <c r="E61" s="17">
        <v>80.568</v>
      </c>
      <c r="F61" s="18">
        <v>75.916</v>
      </c>
      <c r="G61" s="7"/>
      <c r="H61" s="68"/>
    </row>
    <row r="62" spans="1:8" s="4" customFormat="1" ht="16.5" customHeight="1">
      <c r="A62" s="36" t="s">
        <v>15</v>
      </c>
      <c r="B62" s="34">
        <f t="shared" si="0"/>
        <v>0</v>
      </c>
      <c r="C62" s="8"/>
      <c r="D62" s="8"/>
      <c r="E62" s="17">
        <f>E63+E64</f>
        <v>0</v>
      </c>
      <c r="F62" s="18">
        <f>F63+F64</f>
        <v>0</v>
      </c>
      <c r="G62" s="7"/>
      <c r="H62" s="68"/>
    </row>
    <row r="63" spans="1:8" s="4" customFormat="1" ht="18" customHeight="1">
      <c r="A63" s="36" t="s">
        <v>16</v>
      </c>
      <c r="B63" s="34">
        <f t="shared" si="0"/>
        <v>0</v>
      </c>
      <c r="C63" s="10"/>
      <c r="D63" s="8"/>
      <c r="E63" s="10"/>
      <c r="F63" s="19"/>
      <c r="G63" s="7"/>
      <c r="H63" s="68"/>
    </row>
    <row r="64" spans="1:8" s="4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  <c r="G64" s="7"/>
      <c r="H64" s="68"/>
    </row>
    <row r="65" spans="1:8" s="4" customFormat="1" ht="24.75" customHeight="1">
      <c r="A65" s="87" t="s">
        <v>4</v>
      </c>
      <c r="B65" s="34">
        <f t="shared" si="0"/>
        <v>735.178</v>
      </c>
      <c r="C65" s="17">
        <f>C66+C67</f>
        <v>735.178</v>
      </c>
      <c r="D65" s="8"/>
      <c r="E65" s="8"/>
      <c r="F65" s="9"/>
      <c r="G65" s="7"/>
      <c r="H65" s="68"/>
    </row>
    <row r="66" spans="1:8" s="4" customFormat="1" ht="21.75" customHeight="1">
      <c r="A66" s="36" t="s">
        <v>18</v>
      </c>
      <c r="B66" s="34">
        <f t="shared" si="0"/>
        <v>735.178</v>
      </c>
      <c r="C66" s="17">
        <v>735.178</v>
      </c>
      <c r="D66" s="8"/>
      <c r="E66" s="17">
        <f>E65-E67</f>
        <v>0</v>
      </c>
      <c r="F66" s="18">
        <f>F65-F67</f>
        <v>0</v>
      </c>
      <c r="G66" s="7"/>
      <c r="H66" s="68"/>
    </row>
    <row r="67" spans="1:8" s="4" customFormat="1" ht="18" customHeight="1">
      <c r="A67" s="36" t="s">
        <v>15</v>
      </c>
      <c r="B67" s="34">
        <f t="shared" si="0"/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  <c r="G67" s="7"/>
      <c r="H67" s="68"/>
    </row>
    <row r="68" spans="1:8" s="4" customFormat="1" ht="19.5" customHeight="1">
      <c r="A68" s="36" t="s">
        <v>16</v>
      </c>
      <c r="B68" s="34">
        <f t="shared" si="0"/>
        <v>0</v>
      </c>
      <c r="C68" s="11"/>
      <c r="D68" s="8"/>
      <c r="E68" s="8"/>
      <c r="F68" s="9"/>
      <c r="G68" s="7"/>
      <c r="H68" s="68"/>
    </row>
    <row r="69" spans="1:8" s="4" customFormat="1" ht="19.5" customHeight="1" thickBot="1">
      <c r="A69" s="37" t="s">
        <v>17</v>
      </c>
      <c r="B69" s="35">
        <f t="shared" si="0"/>
        <v>0</v>
      </c>
      <c r="C69" s="16"/>
      <c r="D69" s="15"/>
      <c r="E69" s="15"/>
      <c r="F69" s="20"/>
      <c r="G69" s="7"/>
      <c r="H69" s="68"/>
    </row>
    <row r="70" spans="1:8" s="7" customFormat="1" ht="25.5" customHeight="1">
      <c r="A70" s="140" t="s">
        <v>26</v>
      </c>
      <c r="B70" s="95">
        <f>C70+D70+E70+F70</f>
        <v>179.513</v>
      </c>
      <c r="C70" s="45"/>
      <c r="D70" s="45"/>
      <c r="E70" s="46">
        <v>179.513</v>
      </c>
      <c r="F70" s="47"/>
      <c r="H70" s="40"/>
    </row>
    <row r="71" spans="1:6" ht="21.75" customHeight="1">
      <c r="A71" s="54" t="s">
        <v>27</v>
      </c>
      <c r="B71" s="5">
        <f aca="true" t="shared" si="1" ref="B71:B78">C71+D71+E71+F71</f>
        <v>17.659</v>
      </c>
      <c r="C71" s="48"/>
      <c r="D71" s="48"/>
      <c r="E71" s="172">
        <v>17.659</v>
      </c>
      <c r="F71" s="50"/>
    </row>
    <row r="72" spans="1:6" ht="20.25" customHeight="1">
      <c r="A72" s="54" t="s">
        <v>34</v>
      </c>
      <c r="B72" s="5">
        <f t="shared" si="1"/>
        <v>597.2260000000001</v>
      </c>
      <c r="C72" s="48"/>
      <c r="D72" s="48"/>
      <c r="E72" s="49">
        <v>518.57</v>
      </c>
      <c r="F72" s="51">
        <v>78.656</v>
      </c>
    </row>
    <row r="73" spans="1:8" s="161" customFormat="1" ht="23.25" customHeight="1">
      <c r="A73" s="62" t="s">
        <v>35</v>
      </c>
      <c r="B73" s="5">
        <f t="shared" si="1"/>
        <v>1722.6</v>
      </c>
      <c r="C73" s="52">
        <v>1714.1</v>
      </c>
      <c r="D73" s="52"/>
      <c r="E73" s="52"/>
      <c r="F73" s="53">
        <v>8.5</v>
      </c>
      <c r="G73" s="7"/>
      <c r="H73" s="158"/>
    </row>
    <row r="74" spans="1:8" s="161" customFormat="1" ht="23.25" customHeight="1">
      <c r="A74" s="54" t="s">
        <v>28</v>
      </c>
      <c r="B74" s="5">
        <f t="shared" si="1"/>
        <v>750.3420000000001</v>
      </c>
      <c r="C74" s="10">
        <v>519.048</v>
      </c>
      <c r="D74" s="10"/>
      <c r="E74" s="10">
        <v>164.902</v>
      </c>
      <c r="F74" s="19">
        <v>66.392</v>
      </c>
      <c r="G74" s="7"/>
      <c r="H74" s="159"/>
    </row>
    <row r="75" spans="1:8" s="161" customFormat="1" ht="23.25" customHeight="1">
      <c r="A75" s="62" t="s">
        <v>29</v>
      </c>
      <c r="B75" s="104">
        <f t="shared" si="1"/>
        <v>375.318</v>
      </c>
      <c r="C75" s="58"/>
      <c r="D75" s="58"/>
      <c r="E75" s="144">
        <v>375.318</v>
      </c>
      <c r="F75" s="59"/>
      <c r="G75" s="7"/>
      <c r="H75" s="160"/>
    </row>
    <row r="76" spans="1:8" s="161" customFormat="1" ht="39.75" customHeight="1">
      <c r="A76" s="105" t="s">
        <v>30</v>
      </c>
      <c r="B76" s="104">
        <f t="shared" si="1"/>
        <v>48.296</v>
      </c>
      <c r="C76" s="58"/>
      <c r="D76" s="58"/>
      <c r="E76" s="58"/>
      <c r="F76" s="59">
        <v>48.296</v>
      </c>
      <c r="G76" s="98"/>
      <c r="H76" s="160"/>
    </row>
    <row r="77" spans="1:8" s="161" customFormat="1" ht="39.75" customHeight="1" thickBot="1">
      <c r="A77" s="106" t="s">
        <v>31</v>
      </c>
      <c r="B77" s="107">
        <f t="shared" si="1"/>
        <v>216.212</v>
      </c>
      <c r="C77" s="63"/>
      <c r="D77" s="63"/>
      <c r="E77" s="168">
        <v>7.149</v>
      </c>
      <c r="F77" s="151">
        <v>209.063</v>
      </c>
      <c r="G77" s="7"/>
      <c r="H77" s="68"/>
    </row>
    <row r="78" spans="1:8" s="161" customFormat="1" ht="23.25" customHeight="1" thickBot="1">
      <c r="A78" s="110" t="s">
        <v>40</v>
      </c>
      <c r="B78" s="88">
        <f t="shared" si="1"/>
        <v>104284.485</v>
      </c>
      <c r="C78" s="89">
        <f>C5+C10+C15+C20+C25+C30+C35+C40+C45+C50+C55+C60+C65+C70+C71+C72+C73+C74+C75+C76+C77</f>
        <v>47165.057</v>
      </c>
      <c r="D78" s="89">
        <f>D5+D10+D15+D20+D25+D30+D35+D40+D45+D50+D55+D60+D65+D70+D71+D72+D73+D74+D75+D76+D77</f>
        <v>1156.751</v>
      </c>
      <c r="E78" s="89">
        <f>E5+E10+E15+E20+E25+E30+E35+E40+E45+E50+E55+E60+E65+E70+E71+E72+E73+E74+E75+E76+E77</f>
        <v>24306.637000000002</v>
      </c>
      <c r="F78" s="89">
        <f>F5+F10+F15+F20+F25+F30+F35+F40+F45+F50+F55+F60+F65+F70+F71+F72+F73+F74+F75+F76+F77</f>
        <v>31656.039999999994</v>
      </c>
      <c r="G78" s="101"/>
      <c r="H78" s="68"/>
    </row>
    <row r="79" spans="1:8" s="161" customFormat="1" ht="23.25" customHeight="1">
      <c r="A79"/>
      <c r="B79"/>
      <c r="C79"/>
      <c r="D79"/>
      <c r="E79"/>
      <c r="F79"/>
      <c r="G79" s="7"/>
      <c r="H79" s="68"/>
    </row>
    <row r="80" spans="1:8" s="161" customFormat="1" ht="23.25" customHeight="1">
      <c r="A80"/>
      <c r="B80"/>
      <c r="C80"/>
      <c r="D80"/>
      <c r="E80"/>
      <c r="F80"/>
      <c r="G80" s="7"/>
      <c r="H80" s="68"/>
    </row>
    <row r="81" spans="1:8" s="161" customFormat="1" ht="33" customHeight="1">
      <c r="A81"/>
      <c r="B81"/>
      <c r="C81"/>
      <c r="D81"/>
      <c r="E81"/>
      <c r="F81"/>
      <c r="G81" s="7"/>
      <c r="H81" s="40"/>
    </row>
    <row r="82" spans="1:6" s="161" customFormat="1" ht="38.25" customHeight="1">
      <c r="A82"/>
      <c r="B82"/>
      <c r="C82"/>
      <c r="D82"/>
      <c r="E82"/>
      <c r="F82"/>
    </row>
    <row r="85" spans="1:9" s="167" customFormat="1" ht="27.75" customHeight="1">
      <c r="A85"/>
      <c r="B85"/>
      <c r="C85"/>
      <c r="D85"/>
      <c r="E85"/>
      <c r="F85"/>
      <c r="G85" s="7"/>
      <c r="H85" s="69"/>
      <c r="I85" s="71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60" zoomScaleNormal="60" zoomScalePageLayoutView="0" workbookViewId="0" topLeftCell="A1">
      <pane xSplit="1" ySplit="4" topLeftCell="B5" activePane="bottomRight" state="frozen"/>
      <selection pane="topLeft" activeCell="E77" sqref="E77"/>
      <selection pane="topRight" activeCell="E77" sqref="E77"/>
      <selection pane="bottomLeft" activeCell="E77" sqref="E77"/>
      <selection pane="bottomRight" activeCell="E77" sqref="E77"/>
    </sheetView>
  </sheetViews>
  <sheetFormatPr defaultColWidth="9.00390625" defaultRowHeight="12.75"/>
  <cols>
    <col min="1" max="1" width="59.125" style="0" customWidth="1"/>
    <col min="2" max="6" width="25.25390625" style="0" customWidth="1"/>
    <col min="7" max="7" width="11.75390625" style="157" customWidth="1"/>
    <col min="8" max="8" width="27.00390625" style="157" customWidth="1"/>
    <col min="9" max="9" width="18.125" style="157" customWidth="1"/>
    <col min="10" max="16384" width="9.125" style="157" customWidth="1"/>
  </cols>
  <sheetData>
    <row r="1" spans="1:6" ht="23.25">
      <c r="A1" s="238" t="s">
        <v>44</v>
      </c>
      <c r="B1" s="238"/>
      <c r="C1" s="238"/>
      <c r="D1" s="238"/>
      <c r="E1" s="238"/>
      <c r="F1" s="238"/>
    </row>
    <row r="2" spans="1:6" s="163" customFormat="1" ht="23.25">
      <c r="A2" s="239" t="s">
        <v>56</v>
      </c>
      <c r="B2" s="239"/>
      <c r="C2" s="239"/>
      <c r="D2" s="240"/>
      <c r="E2" s="240"/>
      <c r="F2" s="240"/>
    </row>
    <row r="3" spans="1:6" ht="18.75" thickBot="1">
      <c r="A3" s="3"/>
      <c r="B3" s="3"/>
      <c r="C3" s="3"/>
      <c r="D3" s="3"/>
      <c r="E3" s="3"/>
      <c r="F3" s="141" t="s">
        <v>42</v>
      </c>
    </row>
    <row r="4" spans="1:8" s="165" customFormat="1" ht="29.25" customHeight="1" thickBot="1">
      <c r="A4" s="78" t="s">
        <v>14</v>
      </c>
      <c r="B4" s="122"/>
      <c r="C4" s="92" t="s">
        <v>0</v>
      </c>
      <c r="D4" s="92" t="s">
        <v>1</v>
      </c>
      <c r="E4" s="92" t="s">
        <v>2</v>
      </c>
      <c r="F4" s="93" t="s">
        <v>3</v>
      </c>
      <c r="G4" s="7"/>
      <c r="H4" s="164"/>
    </row>
    <row r="5" spans="1:8" s="4" customFormat="1" ht="36.75" customHeight="1">
      <c r="A5" s="82" t="s">
        <v>7</v>
      </c>
      <c r="B5" s="173">
        <f aca="true" t="shared" si="0" ref="B5:B69">C5+D5+E5+F5</f>
        <v>74454.28099999999</v>
      </c>
      <c r="C5" s="174">
        <f>C6+C7</f>
        <v>34016.526999999995</v>
      </c>
      <c r="D5" s="174">
        <f>D6+D7</f>
        <v>1041.056</v>
      </c>
      <c r="E5" s="174">
        <f>E6+E7</f>
        <v>17820.422000000002</v>
      </c>
      <c r="F5" s="175">
        <f>F6+F7</f>
        <v>21576.276</v>
      </c>
      <c r="G5" s="13"/>
      <c r="H5" s="32"/>
    </row>
    <row r="6" spans="1:9" s="4" customFormat="1" ht="27" customHeight="1">
      <c r="A6" s="36" t="s">
        <v>18</v>
      </c>
      <c r="B6" s="176">
        <f t="shared" si="0"/>
        <v>59990.271</v>
      </c>
      <c r="C6" s="177">
        <v>33771.079</v>
      </c>
      <c r="D6" s="177">
        <v>1040.026</v>
      </c>
      <c r="E6" s="177">
        <v>17076.062</v>
      </c>
      <c r="F6" s="178">
        <v>8103.104</v>
      </c>
      <c r="G6" s="13"/>
      <c r="H6" s="32"/>
      <c r="I6" s="32"/>
    </row>
    <row r="7" spans="1:8" s="4" customFormat="1" ht="20.25" customHeight="1">
      <c r="A7" s="36" t="s">
        <v>15</v>
      </c>
      <c r="B7" s="176">
        <f t="shared" si="0"/>
        <v>14464.01</v>
      </c>
      <c r="C7" s="177">
        <f>C8+C9</f>
        <v>245.448</v>
      </c>
      <c r="D7" s="179">
        <f>D8+D9</f>
        <v>1.03</v>
      </c>
      <c r="E7" s="179">
        <f>E8+E9</f>
        <v>744.36</v>
      </c>
      <c r="F7" s="180">
        <f>F8+F9</f>
        <v>13473.172</v>
      </c>
      <c r="G7" s="13"/>
      <c r="H7" s="32"/>
    </row>
    <row r="8" spans="1:8" s="4" customFormat="1" ht="21.75" customHeight="1">
      <c r="A8" s="36" t="s">
        <v>16</v>
      </c>
      <c r="B8" s="176">
        <f t="shared" si="0"/>
        <v>3993.235</v>
      </c>
      <c r="C8" s="181">
        <v>51.728</v>
      </c>
      <c r="D8" s="181"/>
      <c r="E8" s="181">
        <v>72.371</v>
      </c>
      <c r="F8" s="182">
        <v>3869.136</v>
      </c>
      <c r="G8" s="13"/>
      <c r="H8" s="32"/>
    </row>
    <row r="9" spans="1:8" s="4" customFormat="1" ht="24.75" customHeight="1">
      <c r="A9" s="36" t="s">
        <v>17</v>
      </c>
      <c r="B9" s="176">
        <f t="shared" si="0"/>
        <v>10470.775</v>
      </c>
      <c r="C9" s="181">
        <v>193.72</v>
      </c>
      <c r="D9" s="181">
        <v>1.03</v>
      </c>
      <c r="E9" s="181">
        <v>671.989</v>
      </c>
      <c r="F9" s="182">
        <v>9604.036</v>
      </c>
      <c r="G9" s="7"/>
      <c r="H9" s="73"/>
    </row>
    <row r="10" spans="1:8" s="4" customFormat="1" ht="47.25" customHeight="1">
      <c r="A10" s="86" t="s">
        <v>13</v>
      </c>
      <c r="B10" s="176">
        <f t="shared" si="0"/>
        <v>4446.752</v>
      </c>
      <c r="C10" s="179">
        <f>C11+C12</f>
        <v>558.38</v>
      </c>
      <c r="D10" s="179"/>
      <c r="E10" s="179">
        <f>E11+E12</f>
        <v>1498.1170000000002</v>
      </c>
      <c r="F10" s="180">
        <f>F11+F12</f>
        <v>2390.255</v>
      </c>
      <c r="G10" s="13"/>
      <c r="H10" s="73"/>
    </row>
    <row r="11" spans="1:8" s="4" customFormat="1" ht="21.75" customHeight="1">
      <c r="A11" s="36" t="s">
        <v>18</v>
      </c>
      <c r="B11" s="176">
        <f t="shared" si="0"/>
        <v>2717.223</v>
      </c>
      <c r="C11" s="177">
        <v>499.333</v>
      </c>
      <c r="D11" s="177"/>
      <c r="E11" s="177">
        <v>1254.699</v>
      </c>
      <c r="F11" s="178">
        <v>963.191</v>
      </c>
      <c r="G11" s="13"/>
      <c r="H11" s="73"/>
    </row>
    <row r="12" spans="1:8" s="4" customFormat="1" ht="19.5" customHeight="1">
      <c r="A12" s="36" t="s">
        <v>15</v>
      </c>
      <c r="B12" s="176">
        <f t="shared" si="0"/>
        <v>1729.529</v>
      </c>
      <c r="C12" s="179">
        <f>C13+C14</f>
        <v>59.047</v>
      </c>
      <c r="D12" s="177"/>
      <c r="E12" s="179">
        <f>E13+E14</f>
        <v>243.418</v>
      </c>
      <c r="F12" s="180">
        <f>F13+F14</f>
        <v>1427.064</v>
      </c>
      <c r="G12" s="13"/>
      <c r="H12" s="73"/>
    </row>
    <row r="13" spans="1:8" s="4" customFormat="1" ht="17.25" customHeight="1">
      <c r="A13" s="36" t="s">
        <v>16</v>
      </c>
      <c r="B13" s="176">
        <f t="shared" si="0"/>
        <v>1000.3900000000001</v>
      </c>
      <c r="C13" s="181"/>
      <c r="D13" s="181"/>
      <c r="E13" s="181">
        <v>43.166</v>
      </c>
      <c r="F13" s="182">
        <v>957.224</v>
      </c>
      <c r="G13" s="13"/>
      <c r="H13" s="73"/>
    </row>
    <row r="14" spans="1:8" s="4" customFormat="1" ht="17.25" customHeight="1">
      <c r="A14" s="36" t="s">
        <v>17</v>
      </c>
      <c r="B14" s="176">
        <f t="shared" si="0"/>
        <v>729.1389999999999</v>
      </c>
      <c r="C14" s="181">
        <v>59.047</v>
      </c>
      <c r="D14" s="181"/>
      <c r="E14" s="181">
        <v>200.252</v>
      </c>
      <c r="F14" s="182">
        <v>469.84</v>
      </c>
      <c r="G14" s="13"/>
      <c r="H14" s="73"/>
    </row>
    <row r="15" spans="1:8" s="4" customFormat="1" ht="35.25" customHeight="1">
      <c r="A15" s="86" t="s">
        <v>6</v>
      </c>
      <c r="B15" s="176">
        <f t="shared" si="0"/>
        <v>1218.548</v>
      </c>
      <c r="C15" s="179">
        <f>C16+C17</f>
        <v>1218.548</v>
      </c>
      <c r="D15" s="177"/>
      <c r="E15" s="177"/>
      <c r="F15" s="178"/>
      <c r="G15" s="7"/>
      <c r="H15" s="40"/>
    </row>
    <row r="16" spans="1:8" s="4" customFormat="1" ht="19.5" customHeight="1">
      <c r="A16" s="36" t="s">
        <v>18</v>
      </c>
      <c r="B16" s="176">
        <f t="shared" si="0"/>
        <v>1218.064</v>
      </c>
      <c r="C16" s="177">
        <v>1218.064</v>
      </c>
      <c r="D16" s="177"/>
      <c r="E16" s="179"/>
      <c r="F16" s="180"/>
      <c r="G16" s="7"/>
      <c r="H16" s="40"/>
    </row>
    <row r="17" spans="1:8" s="4" customFormat="1" ht="18" customHeight="1">
      <c r="A17" s="36" t="s">
        <v>15</v>
      </c>
      <c r="B17" s="176">
        <f t="shared" si="0"/>
        <v>0.484</v>
      </c>
      <c r="C17" s="179">
        <f>C18+C19</f>
        <v>0.484</v>
      </c>
      <c r="D17" s="177"/>
      <c r="E17" s="179"/>
      <c r="F17" s="180"/>
      <c r="G17" s="7"/>
      <c r="H17" s="40"/>
    </row>
    <row r="18" spans="1:8" s="4" customFormat="1" ht="19.5" customHeight="1">
      <c r="A18" s="36" t="s">
        <v>16</v>
      </c>
      <c r="B18" s="176">
        <f t="shared" si="0"/>
        <v>0.484</v>
      </c>
      <c r="C18" s="181">
        <v>0.484</v>
      </c>
      <c r="D18" s="181"/>
      <c r="E18" s="181"/>
      <c r="F18" s="182"/>
      <c r="G18" s="7"/>
      <c r="H18" s="40"/>
    </row>
    <row r="19" spans="1:8" s="4" customFormat="1" ht="19.5" customHeight="1">
      <c r="A19" s="36" t="s">
        <v>17</v>
      </c>
      <c r="B19" s="176">
        <f t="shared" si="0"/>
        <v>0</v>
      </c>
      <c r="C19" s="181"/>
      <c r="D19" s="181"/>
      <c r="E19" s="181"/>
      <c r="F19" s="182"/>
      <c r="G19" s="7"/>
      <c r="H19" s="40"/>
    </row>
    <row r="20" spans="1:8" s="4" customFormat="1" ht="51" customHeight="1">
      <c r="A20" s="86" t="s">
        <v>36</v>
      </c>
      <c r="B20" s="176">
        <f t="shared" si="0"/>
        <v>279.279</v>
      </c>
      <c r="C20" s="179">
        <f>C21+C22</f>
        <v>8.33</v>
      </c>
      <c r="D20" s="179">
        <f>D21+D22</f>
        <v>148.39</v>
      </c>
      <c r="E20" s="179">
        <f>E21+E22</f>
        <v>49.88</v>
      </c>
      <c r="F20" s="180">
        <f>F21+F22</f>
        <v>72.679</v>
      </c>
      <c r="G20" s="13"/>
      <c r="H20" s="73"/>
    </row>
    <row r="21" spans="1:8" s="4" customFormat="1" ht="21.75" customHeight="1">
      <c r="A21" s="36" t="s">
        <v>18</v>
      </c>
      <c r="B21" s="176">
        <f t="shared" si="0"/>
        <v>260.279</v>
      </c>
      <c r="C21" s="177">
        <v>8.33</v>
      </c>
      <c r="D21" s="177">
        <v>148.39</v>
      </c>
      <c r="E21" s="177">
        <v>49.88</v>
      </c>
      <c r="F21" s="178">
        <v>53.679</v>
      </c>
      <c r="G21" s="13"/>
      <c r="H21" s="73"/>
    </row>
    <row r="22" spans="1:8" s="4" customFormat="1" ht="21" customHeight="1">
      <c r="A22" s="36" t="s">
        <v>15</v>
      </c>
      <c r="B22" s="176">
        <f t="shared" si="0"/>
        <v>19</v>
      </c>
      <c r="C22" s="177"/>
      <c r="D22" s="177"/>
      <c r="E22" s="179">
        <f>E23+E24</f>
        <v>0</v>
      </c>
      <c r="F22" s="180">
        <v>19</v>
      </c>
      <c r="G22" s="13"/>
      <c r="H22" s="73"/>
    </row>
    <row r="23" spans="1:8" s="4" customFormat="1" ht="21.75" customHeight="1">
      <c r="A23" s="36" t="s">
        <v>16</v>
      </c>
      <c r="B23" s="176">
        <f t="shared" si="0"/>
        <v>19</v>
      </c>
      <c r="C23" s="181"/>
      <c r="D23" s="181"/>
      <c r="E23" s="181"/>
      <c r="F23" s="182">
        <v>19</v>
      </c>
      <c r="G23" s="13"/>
      <c r="H23" s="73"/>
    </row>
    <row r="24" spans="1:8" s="4" customFormat="1" ht="21" customHeight="1">
      <c r="A24" s="36" t="s">
        <v>17</v>
      </c>
      <c r="B24" s="176">
        <f t="shared" si="0"/>
        <v>0</v>
      </c>
      <c r="C24" s="181"/>
      <c r="D24" s="181"/>
      <c r="E24" s="181"/>
      <c r="F24" s="182"/>
      <c r="G24" s="13"/>
      <c r="H24" s="73"/>
    </row>
    <row r="25" spans="1:8" s="4" customFormat="1" ht="41.25" customHeight="1">
      <c r="A25" s="86" t="s">
        <v>8</v>
      </c>
      <c r="B25" s="176">
        <f t="shared" si="0"/>
        <v>11901.912999999999</v>
      </c>
      <c r="C25" s="179">
        <f>C26+C27</f>
        <v>6999.311</v>
      </c>
      <c r="D25" s="179"/>
      <c r="E25" s="179">
        <f>E26+E27</f>
        <v>1750.595</v>
      </c>
      <c r="F25" s="180">
        <f>F26+F27</f>
        <v>3152.007</v>
      </c>
      <c r="G25" s="13"/>
      <c r="H25" s="73"/>
    </row>
    <row r="26" spans="1:8" s="4" customFormat="1" ht="19.5" customHeight="1">
      <c r="A26" s="36" t="s">
        <v>18</v>
      </c>
      <c r="B26" s="176">
        <f t="shared" si="0"/>
        <v>9720.454</v>
      </c>
      <c r="C26" s="177">
        <v>6999.311</v>
      </c>
      <c r="D26" s="177"/>
      <c r="E26" s="179">
        <v>1718.755</v>
      </c>
      <c r="F26" s="180">
        <v>1002.388</v>
      </c>
      <c r="G26" s="13"/>
      <c r="H26" s="73"/>
    </row>
    <row r="27" spans="1:8" s="4" customFormat="1" ht="24.75" customHeight="1">
      <c r="A27" s="36" t="s">
        <v>15</v>
      </c>
      <c r="B27" s="176">
        <f t="shared" si="0"/>
        <v>2181.4590000000003</v>
      </c>
      <c r="C27" s="177"/>
      <c r="D27" s="177"/>
      <c r="E27" s="179">
        <f>E28+E29</f>
        <v>31.84</v>
      </c>
      <c r="F27" s="180">
        <f>F28+F29</f>
        <v>2149.619</v>
      </c>
      <c r="G27" s="13"/>
      <c r="H27" s="73"/>
    </row>
    <row r="28" spans="1:8" s="4" customFormat="1" ht="25.5" customHeight="1">
      <c r="A28" s="36" t="s">
        <v>16</v>
      </c>
      <c r="B28" s="176">
        <f>E28+F28</f>
        <v>2153.1400000000003</v>
      </c>
      <c r="C28" s="181"/>
      <c r="D28" s="181"/>
      <c r="E28" s="181">
        <v>31.84</v>
      </c>
      <c r="F28" s="182">
        <v>2121.3</v>
      </c>
      <c r="G28" s="13"/>
      <c r="H28" s="73"/>
    </row>
    <row r="29" spans="1:8" s="4" customFormat="1" ht="20.25" customHeight="1">
      <c r="A29" s="36" t="s">
        <v>17</v>
      </c>
      <c r="B29" s="176">
        <f t="shared" si="0"/>
        <v>28.319</v>
      </c>
      <c r="C29" s="181"/>
      <c r="D29" s="181"/>
      <c r="E29" s="181"/>
      <c r="F29" s="182">
        <v>28.319</v>
      </c>
      <c r="G29" s="13"/>
      <c r="H29" s="73"/>
    </row>
    <row r="30" spans="1:8" s="4" customFormat="1" ht="50.25" customHeight="1">
      <c r="A30" s="86" t="s">
        <v>9</v>
      </c>
      <c r="B30" s="176">
        <f t="shared" si="0"/>
        <v>130.422</v>
      </c>
      <c r="C30" s="179"/>
      <c r="D30" s="179"/>
      <c r="E30" s="179">
        <f>E31+E32</f>
        <v>85.706</v>
      </c>
      <c r="F30" s="180">
        <f>F31+F32</f>
        <v>44.716</v>
      </c>
      <c r="G30" s="7"/>
      <c r="H30" s="40"/>
    </row>
    <row r="31" spans="1:8" s="4" customFormat="1" ht="22.5" customHeight="1">
      <c r="A31" s="36" t="s">
        <v>18</v>
      </c>
      <c r="B31" s="176">
        <f t="shared" si="0"/>
        <v>102.53800000000001</v>
      </c>
      <c r="C31" s="177"/>
      <c r="D31" s="177"/>
      <c r="E31" s="179">
        <v>85.706</v>
      </c>
      <c r="F31" s="180">
        <v>16.832</v>
      </c>
      <c r="G31" s="7"/>
      <c r="H31" s="40"/>
    </row>
    <row r="32" spans="1:8" s="4" customFormat="1" ht="24.75" customHeight="1">
      <c r="A32" s="36" t="s">
        <v>15</v>
      </c>
      <c r="B32" s="176">
        <f t="shared" si="0"/>
        <v>27.884</v>
      </c>
      <c r="C32" s="177"/>
      <c r="D32" s="177"/>
      <c r="E32" s="179">
        <f>E33+E34</f>
        <v>0</v>
      </c>
      <c r="F32" s="180">
        <f>F33+F34</f>
        <v>27.884</v>
      </c>
      <c r="G32" s="7"/>
      <c r="H32" s="40"/>
    </row>
    <row r="33" spans="1:8" s="4" customFormat="1" ht="18" customHeight="1">
      <c r="A33" s="36" t="s">
        <v>16</v>
      </c>
      <c r="B33" s="176">
        <f t="shared" si="0"/>
        <v>23.295</v>
      </c>
      <c r="C33" s="181"/>
      <c r="D33" s="181"/>
      <c r="E33" s="181"/>
      <c r="F33" s="182">
        <v>23.295</v>
      </c>
      <c r="G33" s="7"/>
      <c r="H33" s="40"/>
    </row>
    <row r="34" spans="1:8" s="4" customFormat="1" ht="18" customHeight="1">
      <c r="A34" s="36" t="s">
        <v>17</v>
      </c>
      <c r="B34" s="176">
        <f t="shared" si="0"/>
        <v>4.589</v>
      </c>
      <c r="C34" s="181"/>
      <c r="D34" s="181"/>
      <c r="E34" s="181"/>
      <c r="F34" s="182">
        <v>4.589</v>
      </c>
      <c r="G34" s="7"/>
      <c r="H34" s="40"/>
    </row>
    <row r="35" spans="1:8" s="4" customFormat="1" ht="25.5" customHeight="1">
      <c r="A35" s="86" t="s">
        <v>32</v>
      </c>
      <c r="B35" s="176">
        <f t="shared" si="0"/>
        <v>82.243</v>
      </c>
      <c r="C35" s="179">
        <f>C36+C37</f>
        <v>56.562</v>
      </c>
      <c r="D35" s="183"/>
      <c r="E35" s="179">
        <f>E36+E37</f>
        <v>25.680999999999997</v>
      </c>
      <c r="F35" s="180">
        <f>F36+F37</f>
        <v>0</v>
      </c>
      <c r="G35" s="7"/>
      <c r="H35" s="40"/>
    </row>
    <row r="36" spans="1:8" s="4" customFormat="1" ht="23.25" customHeight="1">
      <c r="A36" s="36" t="s">
        <v>18</v>
      </c>
      <c r="B36" s="176">
        <f t="shared" si="0"/>
        <v>70.063</v>
      </c>
      <c r="C36" s="177">
        <v>56.562</v>
      </c>
      <c r="D36" s="177"/>
      <c r="E36" s="177">
        <v>13.501</v>
      </c>
      <c r="F36" s="178"/>
      <c r="G36" s="7"/>
      <c r="H36" s="40"/>
    </row>
    <row r="37" spans="1:8" s="4" customFormat="1" ht="23.25" customHeight="1">
      <c r="A37" s="36" t="s">
        <v>15</v>
      </c>
      <c r="B37" s="176">
        <f t="shared" si="0"/>
        <v>12.18</v>
      </c>
      <c r="C37" s="179">
        <f>C38+C39</f>
        <v>0</v>
      </c>
      <c r="D37" s="177"/>
      <c r="E37" s="179">
        <f>E39</f>
        <v>12.18</v>
      </c>
      <c r="F37" s="180"/>
      <c r="G37" s="7"/>
      <c r="H37" s="40"/>
    </row>
    <row r="38" spans="1:8" s="4" customFormat="1" ht="23.25" customHeight="1">
      <c r="A38" s="36" t="s">
        <v>16</v>
      </c>
      <c r="B38" s="176">
        <f t="shared" si="0"/>
        <v>0</v>
      </c>
      <c r="C38" s="183"/>
      <c r="D38" s="183"/>
      <c r="E38" s="183"/>
      <c r="F38" s="184"/>
      <c r="G38" s="7"/>
      <c r="H38" s="40"/>
    </row>
    <row r="39" spans="1:8" s="4" customFormat="1" ht="23.25" customHeight="1">
      <c r="A39" s="36" t="s">
        <v>17</v>
      </c>
      <c r="B39" s="176">
        <f t="shared" si="0"/>
        <v>12.18</v>
      </c>
      <c r="C39" s="183"/>
      <c r="D39" s="183"/>
      <c r="E39" s="183">
        <v>12.18</v>
      </c>
      <c r="F39" s="184"/>
      <c r="G39" s="7"/>
      <c r="H39" s="40"/>
    </row>
    <row r="40" spans="1:9" s="4" customFormat="1" ht="42" customHeight="1">
      <c r="A40" s="86" t="s">
        <v>33</v>
      </c>
      <c r="B40" s="176">
        <f t="shared" si="0"/>
        <v>31.288999999999998</v>
      </c>
      <c r="C40" s="183">
        <f>C41+C42</f>
        <v>0.868</v>
      </c>
      <c r="D40" s="183"/>
      <c r="E40" s="183">
        <f>E41+E42</f>
        <v>30.421</v>
      </c>
      <c r="F40" s="180"/>
      <c r="G40" s="7"/>
      <c r="H40" s="73"/>
      <c r="I40" s="7"/>
    </row>
    <row r="41" spans="1:8" s="4" customFormat="1" ht="19.5" customHeight="1">
      <c r="A41" s="36" t="s">
        <v>18</v>
      </c>
      <c r="B41" s="176">
        <f t="shared" si="0"/>
        <v>31.288999999999998</v>
      </c>
      <c r="C41" s="177">
        <v>0.868</v>
      </c>
      <c r="D41" s="177"/>
      <c r="E41" s="177">
        <v>30.421</v>
      </c>
      <c r="F41" s="178"/>
      <c r="G41" s="7"/>
      <c r="H41" s="73"/>
    </row>
    <row r="42" spans="1:8" s="4" customFormat="1" ht="19.5" customHeight="1">
      <c r="A42" s="36" t="s">
        <v>15</v>
      </c>
      <c r="B42" s="176">
        <f t="shared" si="0"/>
        <v>0</v>
      </c>
      <c r="C42" s="177"/>
      <c r="D42" s="177"/>
      <c r="E42" s="179">
        <f>E43+E44</f>
        <v>0</v>
      </c>
      <c r="F42" s="180">
        <f>F43+F44</f>
        <v>0</v>
      </c>
      <c r="G42" s="7"/>
      <c r="H42" s="73"/>
    </row>
    <row r="43" spans="1:8" s="4" customFormat="1" ht="19.5" customHeight="1">
      <c r="A43" s="36" t="s">
        <v>16</v>
      </c>
      <c r="B43" s="176">
        <f t="shared" si="0"/>
        <v>0</v>
      </c>
      <c r="C43" s="183"/>
      <c r="D43" s="183"/>
      <c r="E43" s="183"/>
      <c r="F43" s="184"/>
      <c r="G43" s="7"/>
      <c r="H43" s="73"/>
    </row>
    <row r="44" spans="1:8" s="4" customFormat="1" ht="19.5" customHeight="1">
      <c r="A44" s="36" t="s">
        <v>17</v>
      </c>
      <c r="B44" s="176">
        <f t="shared" si="0"/>
        <v>0</v>
      </c>
      <c r="C44" s="183"/>
      <c r="D44" s="183"/>
      <c r="E44" s="183"/>
      <c r="F44" s="184"/>
      <c r="G44" s="7"/>
      <c r="H44" s="73"/>
    </row>
    <row r="45" spans="1:8" s="4" customFormat="1" ht="24.75" customHeight="1">
      <c r="A45" s="86" t="s">
        <v>10</v>
      </c>
      <c r="B45" s="176">
        <f t="shared" si="0"/>
        <v>886.462</v>
      </c>
      <c r="C45" s="179">
        <f>C46+C47</f>
        <v>0</v>
      </c>
      <c r="D45" s="177"/>
      <c r="E45" s="179">
        <f>E46+E47</f>
        <v>407.708</v>
      </c>
      <c r="F45" s="180">
        <f>F46+F47</f>
        <v>478.754</v>
      </c>
      <c r="G45" s="13"/>
      <c r="H45" s="32"/>
    </row>
    <row r="46" spans="1:8" s="4" customFormat="1" ht="24.75" customHeight="1">
      <c r="A46" s="36" t="s">
        <v>18</v>
      </c>
      <c r="B46" s="176">
        <f t="shared" si="0"/>
        <v>453.927</v>
      </c>
      <c r="C46" s="177"/>
      <c r="D46" s="177"/>
      <c r="E46" s="179">
        <v>364.103</v>
      </c>
      <c r="F46" s="180">
        <v>89.824</v>
      </c>
      <c r="G46" s="13"/>
      <c r="H46" s="32"/>
    </row>
    <row r="47" spans="1:8" s="4" customFormat="1" ht="24.75" customHeight="1">
      <c r="A47" s="36" t="s">
        <v>15</v>
      </c>
      <c r="B47" s="176">
        <f t="shared" si="0"/>
        <v>432.535</v>
      </c>
      <c r="C47" s="177"/>
      <c r="D47" s="177"/>
      <c r="E47" s="179">
        <f>E48+E49</f>
        <v>43.605</v>
      </c>
      <c r="F47" s="180">
        <f>F48+F49</f>
        <v>388.93</v>
      </c>
      <c r="G47" s="13"/>
      <c r="H47" s="32"/>
    </row>
    <row r="48" spans="1:8" s="4" customFormat="1" ht="24.75" customHeight="1">
      <c r="A48" s="36" t="s">
        <v>16</v>
      </c>
      <c r="B48" s="176">
        <f t="shared" si="0"/>
        <v>346.223</v>
      </c>
      <c r="C48" s="177"/>
      <c r="D48" s="177"/>
      <c r="E48" s="181">
        <v>42.211</v>
      </c>
      <c r="F48" s="182">
        <v>304.012</v>
      </c>
      <c r="G48" s="13"/>
      <c r="H48" s="32"/>
    </row>
    <row r="49" spans="1:8" s="4" customFormat="1" ht="24.75" customHeight="1">
      <c r="A49" s="36" t="s">
        <v>17</v>
      </c>
      <c r="B49" s="176">
        <f t="shared" si="0"/>
        <v>86.31200000000001</v>
      </c>
      <c r="C49" s="177"/>
      <c r="D49" s="177"/>
      <c r="E49" s="181">
        <v>1.394</v>
      </c>
      <c r="F49" s="182">
        <v>84.918</v>
      </c>
      <c r="G49" s="13"/>
      <c r="H49" s="32"/>
    </row>
    <row r="50" spans="1:8" s="4" customFormat="1" ht="24.75" customHeight="1">
      <c r="A50" s="86" t="s">
        <v>5</v>
      </c>
      <c r="B50" s="176">
        <f t="shared" si="0"/>
        <v>2526.2</v>
      </c>
      <c r="C50" s="179">
        <f>C51+C52</f>
        <v>350.513</v>
      </c>
      <c r="D50" s="177"/>
      <c r="E50" s="179">
        <f>E51+E52</f>
        <v>1405.609</v>
      </c>
      <c r="F50" s="180">
        <f>F51+F52</f>
        <v>770.078</v>
      </c>
      <c r="G50" s="13"/>
      <c r="H50" s="32"/>
    </row>
    <row r="51" spans="1:8" s="4" customFormat="1" ht="24.75" customHeight="1">
      <c r="A51" s="36" t="s">
        <v>18</v>
      </c>
      <c r="B51" s="176">
        <f t="shared" si="0"/>
        <v>1594.108</v>
      </c>
      <c r="C51" s="179">
        <v>350.513</v>
      </c>
      <c r="D51" s="177"/>
      <c r="E51" s="179">
        <v>935.894</v>
      </c>
      <c r="F51" s="180">
        <v>307.701</v>
      </c>
      <c r="G51" s="13"/>
      <c r="H51" s="32"/>
    </row>
    <row r="52" spans="1:8" s="4" customFormat="1" ht="24.75" customHeight="1">
      <c r="A52" s="36" t="s">
        <v>15</v>
      </c>
      <c r="B52" s="176">
        <f t="shared" si="0"/>
        <v>932.0920000000001</v>
      </c>
      <c r="C52" s="177"/>
      <c r="D52" s="177"/>
      <c r="E52" s="179">
        <f>E53+E54</f>
        <v>469.71500000000003</v>
      </c>
      <c r="F52" s="180">
        <f>F53+F54</f>
        <v>462.377</v>
      </c>
      <c r="G52" s="13"/>
      <c r="H52" s="32"/>
    </row>
    <row r="53" spans="1:8" s="4" customFormat="1" ht="24.75" customHeight="1">
      <c r="A53" s="36" t="s">
        <v>16</v>
      </c>
      <c r="B53" s="176">
        <f t="shared" si="0"/>
        <v>928.8520000000001</v>
      </c>
      <c r="C53" s="181"/>
      <c r="D53" s="181"/>
      <c r="E53" s="181">
        <v>466.475</v>
      </c>
      <c r="F53" s="182">
        <v>462.377</v>
      </c>
      <c r="G53" s="13"/>
      <c r="H53" s="32"/>
    </row>
    <row r="54" spans="1:8" s="4" customFormat="1" ht="24.75" customHeight="1">
      <c r="A54" s="36" t="s">
        <v>17</v>
      </c>
      <c r="B54" s="176">
        <f t="shared" si="0"/>
        <v>3.24</v>
      </c>
      <c r="C54" s="181"/>
      <c r="D54" s="181"/>
      <c r="E54" s="181">
        <v>3.24</v>
      </c>
      <c r="F54" s="182"/>
      <c r="G54" s="13"/>
      <c r="H54" s="32"/>
    </row>
    <row r="55" spans="1:8" s="4" customFormat="1" ht="50.25" customHeight="1">
      <c r="A55" s="86" t="s">
        <v>11</v>
      </c>
      <c r="B55" s="176">
        <f t="shared" si="0"/>
        <v>4951.678</v>
      </c>
      <c r="C55" s="179"/>
      <c r="D55" s="177"/>
      <c r="E55" s="179">
        <f>E56+E57</f>
        <v>1065.676</v>
      </c>
      <c r="F55" s="180">
        <f>F56+F57</f>
        <v>3886.0020000000004</v>
      </c>
      <c r="G55" s="13"/>
      <c r="H55" s="32"/>
    </row>
    <row r="56" spans="1:8" s="4" customFormat="1" ht="26.25" customHeight="1">
      <c r="A56" s="36" t="s">
        <v>18</v>
      </c>
      <c r="B56" s="176">
        <f t="shared" si="0"/>
        <v>2347.67</v>
      </c>
      <c r="C56" s="177"/>
      <c r="D56" s="177"/>
      <c r="E56" s="179">
        <v>1014.03</v>
      </c>
      <c r="F56" s="180">
        <v>1333.64</v>
      </c>
      <c r="G56" s="13"/>
      <c r="H56" s="32"/>
    </row>
    <row r="57" spans="1:8" s="4" customFormat="1" ht="26.25" customHeight="1">
      <c r="A57" s="36" t="s">
        <v>15</v>
      </c>
      <c r="B57" s="176">
        <f t="shared" si="0"/>
        <v>2604.0080000000003</v>
      </c>
      <c r="C57" s="177"/>
      <c r="D57" s="177"/>
      <c r="E57" s="179">
        <f>E58+E59</f>
        <v>51.646</v>
      </c>
      <c r="F57" s="180">
        <f>F58+F59</f>
        <v>2552.362</v>
      </c>
      <c r="G57" s="13"/>
      <c r="H57" s="32"/>
    </row>
    <row r="58" spans="1:8" s="4" customFormat="1" ht="26.25" customHeight="1">
      <c r="A58" s="36" t="s">
        <v>16</v>
      </c>
      <c r="B58" s="176">
        <f t="shared" si="0"/>
        <v>653.244</v>
      </c>
      <c r="C58" s="185"/>
      <c r="D58" s="177"/>
      <c r="E58" s="181">
        <v>20.543</v>
      </c>
      <c r="F58" s="182">
        <v>632.701</v>
      </c>
      <c r="G58" s="13"/>
      <c r="H58" s="32"/>
    </row>
    <row r="59" spans="1:8" s="4" customFormat="1" ht="26.25" customHeight="1">
      <c r="A59" s="36" t="s">
        <v>17</v>
      </c>
      <c r="B59" s="176">
        <f t="shared" si="0"/>
        <v>1950.7640000000001</v>
      </c>
      <c r="C59" s="185"/>
      <c r="D59" s="177"/>
      <c r="E59" s="181">
        <v>31.103</v>
      </c>
      <c r="F59" s="182">
        <v>1919.661</v>
      </c>
      <c r="G59" s="13"/>
      <c r="H59" s="32"/>
    </row>
    <row r="60" spans="1:8" s="4" customFormat="1" ht="24.75" customHeight="1">
      <c r="A60" s="87" t="s">
        <v>39</v>
      </c>
      <c r="B60" s="176">
        <f t="shared" si="0"/>
        <v>149.301</v>
      </c>
      <c r="C60" s="185"/>
      <c r="D60" s="177"/>
      <c r="E60" s="179">
        <f>E61+E62</f>
        <v>74.268</v>
      </c>
      <c r="F60" s="180">
        <f>F61+F62</f>
        <v>75.033</v>
      </c>
      <c r="G60" s="7"/>
      <c r="H60" s="32"/>
    </row>
    <row r="61" spans="1:8" s="4" customFormat="1" ht="21.75" customHeight="1">
      <c r="A61" s="36" t="s">
        <v>18</v>
      </c>
      <c r="B61" s="176">
        <f t="shared" si="0"/>
        <v>149.301</v>
      </c>
      <c r="C61" s="177"/>
      <c r="D61" s="177"/>
      <c r="E61" s="179">
        <v>74.268</v>
      </c>
      <c r="F61" s="180">
        <v>75.033</v>
      </c>
      <c r="G61" s="7"/>
      <c r="H61" s="68"/>
    </row>
    <row r="62" spans="1:8" s="4" customFormat="1" ht="16.5" customHeight="1">
      <c r="A62" s="36" t="s">
        <v>15</v>
      </c>
      <c r="B62" s="176">
        <f t="shared" si="0"/>
        <v>0</v>
      </c>
      <c r="C62" s="177"/>
      <c r="D62" s="177"/>
      <c r="E62" s="179">
        <f>E63+E64</f>
        <v>0</v>
      </c>
      <c r="F62" s="180">
        <f>F63+F64</f>
        <v>0</v>
      </c>
      <c r="G62" s="7"/>
      <c r="H62" s="68"/>
    </row>
    <row r="63" spans="1:8" s="4" customFormat="1" ht="18" customHeight="1">
      <c r="A63" s="36" t="s">
        <v>16</v>
      </c>
      <c r="B63" s="176">
        <f t="shared" si="0"/>
        <v>0</v>
      </c>
      <c r="C63" s="185"/>
      <c r="D63" s="177"/>
      <c r="E63" s="185"/>
      <c r="F63" s="186"/>
      <c r="G63" s="7"/>
      <c r="H63" s="68"/>
    </row>
    <row r="64" spans="1:8" s="4" customFormat="1" ht="18" customHeight="1">
      <c r="A64" s="36" t="s">
        <v>17</v>
      </c>
      <c r="B64" s="176">
        <f t="shared" si="0"/>
        <v>0</v>
      </c>
      <c r="C64" s="185"/>
      <c r="D64" s="177"/>
      <c r="E64" s="185"/>
      <c r="F64" s="186"/>
      <c r="G64" s="7"/>
      <c r="H64" s="68"/>
    </row>
    <row r="65" spans="1:8" s="4" customFormat="1" ht="24.75" customHeight="1">
      <c r="A65" s="87" t="s">
        <v>4</v>
      </c>
      <c r="B65" s="176">
        <f t="shared" si="0"/>
        <v>754.615</v>
      </c>
      <c r="C65" s="179">
        <f>C66+C67</f>
        <v>754.615</v>
      </c>
      <c r="D65" s="177"/>
      <c r="E65" s="177"/>
      <c r="F65" s="178"/>
      <c r="G65" s="7"/>
      <c r="H65" s="68"/>
    </row>
    <row r="66" spans="1:8" s="4" customFormat="1" ht="21.75" customHeight="1">
      <c r="A66" s="36" t="s">
        <v>18</v>
      </c>
      <c r="B66" s="176">
        <f t="shared" si="0"/>
        <v>754.615</v>
      </c>
      <c r="C66" s="179">
        <v>754.615</v>
      </c>
      <c r="D66" s="177"/>
      <c r="E66" s="179">
        <f>E65-E67</f>
        <v>0</v>
      </c>
      <c r="F66" s="180">
        <f>F65-F67</f>
        <v>0</v>
      </c>
      <c r="G66" s="7"/>
      <c r="H66" s="68"/>
    </row>
    <row r="67" spans="1:8" s="4" customFormat="1" ht="18" customHeight="1">
      <c r="A67" s="36" t="s">
        <v>15</v>
      </c>
      <c r="B67" s="176">
        <f t="shared" si="0"/>
        <v>0</v>
      </c>
      <c r="C67" s="179">
        <f>C68+C69</f>
        <v>0</v>
      </c>
      <c r="D67" s="177"/>
      <c r="E67" s="179">
        <f>E68+E69</f>
        <v>0</v>
      </c>
      <c r="F67" s="180">
        <f>F68+F69</f>
        <v>0</v>
      </c>
      <c r="G67" s="7"/>
      <c r="H67" s="68"/>
    </row>
    <row r="68" spans="1:8" s="4" customFormat="1" ht="19.5" customHeight="1">
      <c r="A68" s="36" t="s">
        <v>16</v>
      </c>
      <c r="B68" s="176">
        <f t="shared" si="0"/>
        <v>0</v>
      </c>
      <c r="C68" s="181"/>
      <c r="D68" s="177"/>
      <c r="E68" s="177"/>
      <c r="F68" s="178"/>
      <c r="G68" s="7"/>
      <c r="H68" s="68"/>
    </row>
    <row r="69" spans="1:8" s="4" customFormat="1" ht="19.5" customHeight="1" thickBot="1">
      <c r="A69" s="37" t="s">
        <v>17</v>
      </c>
      <c r="B69" s="187">
        <f t="shared" si="0"/>
        <v>0</v>
      </c>
      <c r="C69" s="188"/>
      <c r="D69" s="189"/>
      <c r="E69" s="189"/>
      <c r="F69" s="190"/>
      <c r="G69" s="7"/>
      <c r="H69" s="68"/>
    </row>
    <row r="70" spans="1:8" s="7" customFormat="1" ht="25.5" customHeight="1">
      <c r="A70" s="140" t="s">
        <v>26</v>
      </c>
      <c r="B70" s="191">
        <f>C70+D70+E70+F70</f>
        <v>192.065</v>
      </c>
      <c r="C70" s="192"/>
      <c r="D70" s="193"/>
      <c r="E70" s="193">
        <v>192.065</v>
      </c>
      <c r="F70" s="194"/>
      <c r="H70" s="40"/>
    </row>
    <row r="71" spans="1:6" ht="18">
      <c r="A71" s="54" t="s">
        <v>27</v>
      </c>
      <c r="B71" s="195">
        <f aca="true" t="shared" si="1" ref="B71:B78">C71+D71+E71+F71</f>
        <v>19.884</v>
      </c>
      <c r="C71" s="196"/>
      <c r="D71" s="197"/>
      <c r="E71" s="197">
        <v>19.884</v>
      </c>
      <c r="F71" s="184"/>
    </row>
    <row r="72" spans="1:6" ht="18">
      <c r="A72" s="54" t="s">
        <v>34</v>
      </c>
      <c r="B72" s="195">
        <f t="shared" si="1"/>
        <v>623.17</v>
      </c>
      <c r="C72" s="196"/>
      <c r="D72" s="197"/>
      <c r="E72" s="197">
        <v>548.617</v>
      </c>
      <c r="F72" s="184">
        <v>74.553</v>
      </c>
    </row>
    <row r="73" spans="1:8" s="161" customFormat="1" ht="23.25" customHeight="1">
      <c r="A73" s="62" t="s">
        <v>35</v>
      </c>
      <c r="B73" s="195">
        <f t="shared" si="1"/>
        <v>1585.85</v>
      </c>
      <c r="C73" s="198">
        <v>1578</v>
      </c>
      <c r="D73" s="199"/>
      <c r="E73" s="199"/>
      <c r="F73" s="200">
        <v>7.85</v>
      </c>
      <c r="G73" s="7"/>
      <c r="H73" s="158"/>
    </row>
    <row r="74" spans="1:8" s="161" customFormat="1" ht="23.25" customHeight="1">
      <c r="A74" s="54" t="s">
        <v>28</v>
      </c>
      <c r="B74" s="195">
        <f t="shared" si="1"/>
        <v>700.413</v>
      </c>
      <c r="C74" s="196">
        <v>501.972</v>
      </c>
      <c r="D74" s="197"/>
      <c r="E74" s="197">
        <v>151.22</v>
      </c>
      <c r="F74" s="184">
        <v>47.221</v>
      </c>
      <c r="G74" s="7"/>
      <c r="H74" s="159"/>
    </row>
    <row r="75" spans="1:8" s="161" customFormat="1" ht="23.25" customHeight="1">
      <c r="A75" s="62" t="s">
        <v>29</v>
      </c>
      <c r="B75" s="201">
        <f t="shared" si="1"/>
        <v>380.88</v>
      </c>
      <c r="C75" s="198"/>
      <c r="D75" s="199"/>
      <c r="E75" s="197">
        <v>380.88</v>
      </c>
      <c r="F75" s="200"/>
      <c r="G75" s="7"/>
      <c r="H75" s="160"/>
    </row>
    <row r="76" spans="1:8" s="161" customFormat="1" ht="43.5" customHeight="1">
      <c r="A76" s="105" t="s">
        <v>30</v>
      </c>
      <c r="B76" s="201">
        <f t="shared" si="1"/>
        <v>47.31</v>
      </c>
      <c r="C76" s="198"/>
      <c r="D76" s="199"/>
      <c r="E76" s="199"/>
      <c r="F76" s="200">
        <v>47.31</v>
      </c>
      <c r="G76" s="98"/>
      <c r="H76" s="160"/>
    </row>
    <row r="77" spans="1:8" s="161" customFormat="1" ht="23.25" customHeight="1" thickBot="1">
      <c r="A77" s="106" t="s">
        <v>31</v>
      </c>
      <c r="B77" s="202">
        <f t="shared" si="1"/>
        <v>210.01</v>
      </c>
      <c r="C77" s="203"/>
      <c r="D77" s="204"/>
      <c r="E77" s="204">
        <v>7.641</v>
      </c>
      <c r="F77" s="205">
        <v>202.369</v>
      </c>
      <c r="G77" s="7"/>
      <c r="H77" s="68"/>
    </row>
    <row r="78" spans="1:8" s="161" customFormat="1" ht="23.25" customHeight="1" thickBot="1">
      <c r="A78" s="110" t="s">
        <v>40</v>
      </c>
      <c r="B78" s="88">
        <f t="shared" si="1"/>
        <v>105572.565</v>
      </c>
      <c r="C78" s="89">
        <f>C5+C10+C15+C20+C25+C30+C35+C40+C45+C50+C55+C60+C65+C70+C71+C72+C73+C74+C75+C76+C77</f>
        <v>46043.626</v>
      </c>
      <c r="D78" s="89">
        <f>D5+D10+D15+D20+D25+D30+D35+D40+D45+D50+D55+D60+D65+D70+D71+D72+D73+D74+D75+D76+D77</f>
        <v>1189.446</v>
      </c>
      <c r="E78" s="89">
        <f>E5+E10+E15+E20+E25+E30+E35+E40+E45+E50+E55+E60+E65+E70+E71+E72+E73+E74+E75+E76+E77</f>
        <v>25514.39</v>
      </c>
      <c r="F78" s="89">
        <f>F5+F10+F15+F20+F25+F30+F35+F40+F45+F50+F55+F60+F65+F70+F71+F72+F73+F74+F75+F76+F77</f>
        <v>32825.10300000001</v>
      </c>
      <c r="G78" s="101"/>
      <c r="H78" s="68"/>
    </row>
    <row r="79" spans="1:8" s="161" customFormat="1" ht="23.25" customHeight="1">
      <c r="A79"/>
      <c r="B79"/>
      <c r="C79"/>
      <c r="D79"/>
      <c r="E79"/>
      <c r="F79"/>
      <c r="G79" s="7"/>
      <c r="H79" s="68"/>
    </row>
    <row r="80" spans="1:8" s="161" customFormat="1" ht="23.25" customHeight="1">
      <c r="A80"/>
      <c r="B80"/>
      <c r="C80"/>
      <c r="D80"/>
      <c r="E80"/>
      <c r="F80"/>
      <c r="G80" s="7"/>
      <c r="H80" s="68"/>
    </row>
    <row r="81" spans="1:8" s="161" customFormat="1" ht="33" customHeight="1">
      <c r="A81"/>
      <c r="B81"/>
      <c r="C81"/>
      <c r="D81"/>
      <c r="E81"/>
      <c r="F81"/>
      <c r="G81" s="7"/>
      <c r="H81" s="40"/>
    </row>
    <row r="82" spans="1:6" s="161" customFormat="1" ht="38.25" customHeight="1">
      <c r="A82"/>
      <c r="B82"/>
      <c r="C82"/>
      <c r="D82"/>
      <c r="E82"/>
      <c r="F82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60" zoomScaleNormal="60" zoomScalePageLayoutView="0" workbookViewId="0" topLeftCell="A1">
      <selection activeCell="E77" sqref="E77"/>
    </sheetView>
  </sheetViews>
  <sheetFormatPr defaultColWidth="9.00390625" defaultRowHeight="12.75"/>
  <cols>
    <col min="1" max="1" width="59.375" style="0" customWidth="1"/>
    <col min="2" max="2" width="24.25390625" style="0" customWidth="1"/>
    <col min="3" max="6" width="22.25390625" style="0" customWidth="1"/>
    <col min="7" max="8" width="22.25390625" style="157" customWidth="1"/>
    <col min="9" max="9" width="15.625" style="157" customWidth="1"/>
    <col min="10" max="10" width="17.25390625" style="161" customWidth="1"/>
    <col min="11" max="11" width="17.25390625" style="157" customWidth="1"/>
    <col min="12" max="15" width="17.25390625" style="161" customWidth="1"/>
    <col min="16" max="16" width="12.25390625" style="157" customWidth="1"/>
    <col min="17" max="17" width="11.00390625" style="162" bestFit="1" customWidth="1"/>
    <col min="18" max="16384" width="9.125" style="157" customWidth="1"/>
  </cols>
  <sheetData>
    <row r="1" spans="1:17" s="161" customFormat="1" ht="23.25">
      <c r="A1" s="238" t="s">
        <v>44</v>
      </c>
      <c r="B1" s="238"/>
      <c r="C1" s="238"/>
      <c r="D1" s="238"/>
      <c r="E1" s="238"/>
      <c r="F1" s="238"/>
      <c r="Q1" s="162"/>
    </row>
    <row r="2" spans="1:17" s="163" customFormat="1" ht="23.25">
      <c r="A2" s="239" t="s">
        <v>53</v>
      </c>
      <c r="B2" s="239"/>
      <c r="C2" s="239"/>
      <c r="D2" s="240"/>
      <c r="E2" s="240"/>
      <c r="F2" s="240"/>
      <c r="J2" s="161"/>
      <c r="L2" s="161"/>
      <c r="M2" s="161"/>
      <c r="N2" s="161"/>
      <c r="O2" s="161"/>
      <c r="Q2" s="162"/>
    </row>
    <row r="3" spans="1:6" ht="18.75" thickBot="1">
      <c r="A3" s="3"/>
      <c r="B3" s="3"/>
      <c r="C3" s="3"/>
      <c r="D3" s="3"/>
      <c r="E3" s="3"/>
      <c r="F3" s="141" t="s">
        <v>42</v>
      </c>
    </row>
    <row r="4" spans="1:17" s="165" customFormat="1" ht="29.25" customHeight="1" thickBot="1">
      <c r="A4" s="78" t="s">
        <v>54</v>
      </c>
      <c r="B4" s="122"/>
      <c r="C4" s="92" t="s">
        <v>0</v>
      </c>
      <c r="D4" s="92" t="s">
        <v>1</v>
      </c>
      <c r="E4" s="92" t="s">
        <v>2</v>
      </c>
      <c r="F4" s="93" t="s">
        <v>3</v>
      </c>
      <c r="G4" s="7"/>
      <c r="H4" s="164"/>
      <c r="I4" s="7"/>
      <c r="J4" s="7"/>
      <c r="L4" s="7"/>
      <c r="M4" s="7"/>
      <c r="N4" s="7"/>
      <c r="O4" s="7"/>
      <c r="Q4" s="166"/>
    </row>
    <row r="5" spans="1:8" s="4" customFormat="1" ht="44.25" customHeight="1">
      <c r="A5" s="82" t="s">
        <v>7</v>
      </c>
      <c r="B5" s="95">
        <f aca="true" t="shared" si="0" ref="B5:B66">C5+D5+E5+F5</f>
        <v>76994.05299999999</v>
      </c>
      <c r="C5" s="210">
        <f>C6+C7</f>
        <v>34623.736</v>
      </c>
      <c r="D5" s="210">
        <f>D6+D7</f>
        <v>1375.445</v>
      </c>
      <c r="E5" s="210">
        <f>E6+E7</f>
        <v>19354.678999999996</v>
      </c>
      <c r="F5" s="211">
        <f>F6+F7</f>
        <v>21640.193</v>
      </c>
      <c r="G5" s="13"/>
      <c r="H5" s="32"/>
    </row>
    <row r="6" spans="1:9" s="4" customFormat="1" ht="27" customHeight="1">
      <c r="A6" s="36" t="s">
        <v>18</v>
      </c>
      <c r="B6" s="5">
        <f t="shared" si="0"/>
        <v>62737.349</v>
      </c>
      <c r="C6" s="8">
        <v>34329.303</v>
      </c>
      <c r="D6" s="8">
        <v>1374.165</v>
      </c>
      <c r="E6" s="8">
        <v>18804.67</v>
      </c>
      <c r="F6" s="9">
        <v>8229.211</v>
      </c>
      <c r="G6" s="13"/>
      <c r="H6" s="32"/>
      <c r="I6" s="32"/>
    </row>
    <row r="7" spans="1:8" s="4" customFormat="1" ht="20.25" customHeight="1">
      <c r="A7" s="36" t="s">
        <v>15</v>
      </c>
      <c r="B7" s="5">
        <f t="shared" si="0"/>
        <v>14256.704</v>
      </c>
      <c r="C7" s="23">
        <f>C8+C9</f>
        <v>294.433</v>
      </c>
      <c r="D7" s="23">
        <f>D8+D9</f>
        <v>1.28</v>
      </c>
      <c r="E7" s="23">
        <f>E8+E9</f>
        <v>550.009</v>
      </c>
      <c r="F7" s="24">
        <f>F8+F9</f>
        <v>13410.982</v>
      </c>
      <c r="G7" s="13"/>
      <c r="H7" s="32"/>
    </row>
    <row r="8" spans="1:8" s="4" customFormat="1" ht="21.75" customHeight="1">
      <c r="A8" s="36" t="s">
        <v>16</v>
      </c>
      <c r="B8" s="5">
        <f t="shared" si="0"/>
        <v>4057.167</v>
      </c>
      <c r="C8" s="206">
        <v>65.131</v>
      </c>
      <c r="D8" s="206"/>
      <c r="E8" s="206">
        <v>115.164</v>
      </c>
      <c r="F8" s="207">
        <v>3876.872</v>
      </c>
      <c r="G8" s="13"/>
      <c r="H8" s="32"/>
    </row>
    <row r="9" spans="1:8" s="4" customFormat="1" ht="24.75" customHeight="1">
      <c r="A9" s="36" t="s">
        <v>17</v>
      </c>
      <c r="B9" s="5">
        <f t="shared" si="0"/>
        <v>10199.537</v>
      </c>
      <c r="C9" s="206">
        <v>229.302</v>
      </c>
      <c r="D9" s="206">
        <v>1.28</v>
      </c>
      <c r="E9" s="206">
        <v>434.845</v>
      </c>
      <c r="F9" s="207">
        <v>9534.11</v>
      </c>
      <c r="G9" s="7"/>
      <c r="H9" s="73"/>
    </row>
    <row r="10" spans="1:8" s="4" customFormat="1" ht="41.25" customHeight="1">
      <c r="A10" s="86" t="s">
        <v>13</v>
      </c>
      <c r="B10" s="5">
        <f t="shared" si="0"/>
        <v>5012.942</v>
      </c>
      <c r="C10" s="23">
        <f>C11+C12</f>
        <v>684.11</v>
      </c>
      <c r="D10" s="23"/>
      <c r="E10" s="23">
        <f>E11+E12</f>
        <v>1728.709</v>
      </c>
      <c r="F10" s="24">
        <f>F11+F12</f>
        <v>2600.123</v>
      </c>
      <c r="G10" s="13"/>
      <c r="H10" s="73"/>
    </row>
    <row r="11" spans="1:8" s="4" customFormat="1" ht="21.75" customHeight="1">
      <c r="A11" s="36" t="s">
        <v>18</v>
      </c>
      <c r="B11" s="5">
        <f t="shared" si="0"/>
        <v>3077.2090000000003</v>
      </c>
      <c r="C11" s="8">
        <v>615.851</v>
      </c>
      <c r="D11" s="8"/>
      <c r="E11" s="8">
        <v>1449.201</v>
      </c>
      <c r="F11" s="9">
        <v>1012.157</v>
      </c>
      <c r="G11" s="13"/>
      <c r="H11" s="73"/>
    </row>
    <row r="12" spans="1:8" s="4" customFormat="1" ht="19.5" customHeight="1">
      <c r="A12" s="36" t="s">
        <v>15</v>
      </c>
      <c r="B12" s="5">
        <f t="shared" si="0"/>
        <v>1935.733</v>
      </c>
      <c r="C12" s="23">
        <f>C13+C14</f>
        <v>68.259</v>
      </c>
      <c r="D12" s="8"/>
      <c r="E12" s="23">
        <f>E13+E14</f>
        <v>279.508</v>
      </c>
      <c r="F12" s="24">
        <f>F13+F14</f>
        <v>1587.966</v>
      </c>
      <c r="G12" s="13"/>
      <c r="H12" s="73"/>
    </row>
    <row r="13" spans="1:8" s="4" customFormat="1" ht="17.25" customHeight="1">
      <c r="A13" s="36" t="s">
        <v>16</v>
      </c>
      <c r="B13" s="5">
        <f t="shared" si="0"/>
        <v>1111.6889999999999</v>
      </c>
      <c r="C13" s="11"/>
      <c r="D13" s="11"/>
      <c r="E13" s="11">
        <v>55.175</v>
      </c>
      <c r="F13" s="12">
        <v>1056.514</v>
      </c>
      <c r="G13" s="13"/>
      <c r="H13" s="73"/>
    </row>
    <row r="14" spans="1:8" s="4" customFormat="1" ht="17.25" customHeight="1">
      <c r="A14" s="36" t="s">
        <v>17</v>
      </c>
      <c r="B14" s="5">
        <f t="shared" si="0"/>
        <v>824.044</v>
      </c>
      <c r="C14" s="11">
        <v>68.259</v>
      </c>
      <c r="D14" s="11"/>
      <c r="E14" s="11">
        <v>224.333</v>
      </c>
      <c r="F14" s="12">
        <v>531.452</v>
      </c>
      <c r="G14" s="13"/>
      <c r="H14" s="73"/>
    </row>
    <row r="15" spans="1:8" s="4" customFormat="1" ht="35.25" customHeight="1">
      <c r="A15" s="86" t="s">
        <v>6</v>
      </c>
      <c r="B15" s="5">
        <f t="shared" si="0"/>
        <v>1129.268</v>
      </c>
      <c r="C15" s="23">
        <f>C16+C17</f>
        <v>1129.268</v>
      </c>
      <c r="D15" s="8"/>
      <c r="E15" s="8"/>
      <c r="F15" s="24">
        <f>F16+F17</f>
        <v>0</v>
      </c>
      <c r="G15" s="7"/>
      <c r="H15" s="40"/>
    </row>
    <row r="16" spans="1:8" s="4" customFormat="1" ht="19.5" customHeight="1">
      <c r="A16" s="36" t="s">
        <v>18</v>
      </c>
      <c r="B16" s="5">
        <f t="shared" si="0"/>
        <v>1128.996</v>
      </c>
      <c r="C16" s="8">
        <v>1128.996</v>
      </c>
      <c r="D16" s="8"/>
      <c r="E16" s="23"/>
      <c r="F16" s="24"/>
      <c r="G16" s="7"/>
      <c r="H16" s="40"/>
    </row>
    <row r="17" spans="1:8" s="4" customFormat="1" ht="18" customHeight="1">
      <c r="A17" s="36" t="s">
        <v>15</v>
      </c>
      <c r="B17" s="5">
        <f t="shared" si="0"/>
        <v>0.272</v>
      </c>
      <c r="C17" s="23">
        <f>C18+C19</f>
        <v>0.272</v>
      </c>
      <c r="D17" s="8"/>
      <c r="E17" s="23">
        <f>E18+E19</f>
        <v>0</v>
      </c>
      <c r="F17" s="24">
        <f>F18+F19</f>
        <v>0</v>
      </c>
      <c r="G17" s="7"/>
      <c r="H17" s="40"/>
    </row>
    <row r="18" spans="1:8" s="4" customFormat="1" ht="19.5" customHeight="1">
      <c r="A18" s="36" t="s">
        <v>16</v>
      </c>
      <c r="B18" s="5">
        <f t="shared" si="0"/>
        <v>0.272</v>
      </c>
      <c r="C18" s="208">
        <v>0.272</v>
      </c>
      <c r="D18" s="208"/>
      <c r="E18" s="208"/>
      <c r="F18" s="209"/>
      <c r="G18" s="7"/>
      <c r="H18" s="40"/>
    </row>
    <row r="19" spans="1:8" s="4" customFormat="1" ht="19.5" customHeight="1">
      <c r="A19" s="36" t="s">
        <v>17</v>
      </c>
      <c r="B19" s="5">
        <f t="shared" si="0"/>
        <v>0</v>
      </c>
      <c r="C19" s="208"/>
      <c r="D19" s="208"/>
      <c r="E19" s="208"/>
      <c r="F19" s="209"/>
      <c r="G19" s="7"/>
      <c r="H19" s="40"/>
    </row>
    <row r="20" spans="1:8" s="4" customFormat="1" ht="37.5" customHeight="1">
      <c r="A20" s="86" t="s">
        <v>36</v>
      </c>
      <c r="B20" s="5">
        <f t="shared" si="0"/>
        <v>164.28</v>
      </c>
      <c r="C20" s="23">
        <f>C21+C22</f>
        <v>8.925</v>
      </c>
      <c r="D20" s="23">
        <f>D21+D22</f>
        <v>21.246</v>
      </c>
      <c r="E20" s="23">
        <f>E21+E22</f>
        <v>37.209</v>
      </c>
      <c r="F20" s="24">
        <f>F21+F22</f>
        <v>96.9</v>
      </c>
      <c r="G20" s="13"/>
      <c r="H20" s="73"/>
    </row>
    <row r="21" spans="1:8" s="4" customFormat="1" ht="21.75" customHeight="1">
      <c r="A21" s="36" t="s">
        <v>18</v>
      </c>
      <c r="B21" s="5">
        <f t="shared" si="0"/>
        <v>145.16</v>
      </c>
      <c r="C21" s="8">
        <v>8.925</v>
      </c>
      <c r="D21" s="8">
        <v>21.246</v>
      </c>
      <c r="E21" s="8">
        <v>37.209</v>
      </c>
      <c r="F21" s="9">
        <v>77.78</v>
      </c>
      <c r="G21" s="13"/>
      <c r="H21" s="73"/>
    </row>
    <row r="22" spans="1:8" s="4" customFormat="1" ht="21" customHeight="1">
      <c r="A22" s="36" t="s">
        <v>15</v>
      </c>
      <c r="B22" s="5">
        <f t="shared" si="0"/>
        <v>19.12</v>
      </c>
      <c r="C22" s="23">
        <f>C23+C24</f>
        <v>0</v>
      </c>
      <c r="D22" s="8"/>
      <c r="E22" s="23">
        <f>E23+E24</f>
        <v>0</v>
      </c>
      <c r="F22" s="24">
        <f>F23+F24</f>
        <v>19.12</v>
      </c>
      <c r="G22" s="13"/>
      <c r="H22" s="73"/>
    </row>
    <row r="23" spans="1:8" s="4" customFormat="1" ht="21.75" customHeight="1">
      <c r="A23" s="36" t="s">
        <v>16</v>
      </c>
      <c r="B23" s="5">
        <f t="shared" si="0"/>
        <v>19.12</v>
      </c>
      <c r="C23" s="208"/>
      <c r="D23" s="208"/>
      <c r="E23" s="11"/>
      <c r="F23" s="12">
        <v>19.12</v>
      </c>
      <c r="G23" s="13"/>
      <c r="H23" s="73"/>
    </row>
    <row r="24" spans="1:8" s="4" customFormat="1" ht="21" customHeight="1">
      <c r="A24" s="36" t="s">
        <v>17</v>
      </c>
      <c r="B24" s="5">
        <f t="shared" si="0"/>
        <v>0</v>
      </c>
      <c r="C24" s="208"/>
      <c r="D24" s="208"/>
      <c r="E24" s="208"/>
      <c r="F24" s="209"/>
      <c r="G24" s="13"/>
      <c r="H24" s="73"/>
    </row>
    <row r="25" spans="1:8" s="4" customFormat="1" ht="41.25" customHeight="1">
      <c r="A25" s="86" t="s">
        <v>8</v>
      </c>
      <c r="B25" s="5">
        <f t="shared" si="0"/>
        <v>11662.767</v>
      </c>
      <c r="C25" s="23">
        <f>C26+C27</f>
        <v>6603.23</v>
      </c>
      <c r="D25" s="23">
        <f>D26+D27</f>
        <v>0</v>
      </c>
      <c r="E25" s="23">
        <f>E26+E27</f>
        <v>1764.278</v>
      </c>
      <c r="F25" s="24">
        <f>F26+F27</f>
        <v>3295.2589999999996</v>
      </c>
      <c r="G25" s="13"/>
      <c r="H25" s="73"/>
    </row>
    <row r="26" spans="1:8" s="4" customFormat="1" ht="19.5" customHeight="1">
      <c r="A26" s="36" t="s">
        <v>18</v>
      </c>
      <c r="B26" s="5">
        <f t="shared" si="0"/>
        <v>9295.977</v>
      </c>
      <c r="C26" s="8">
        <v>6603.23</v>
      </c>
      <c r="D26" s="8"/>
      <c r="E26" s="8">
        <v>1719.897</v>
      </c>
      <c r="F26" s="9">
        <v>972.85</v>
      </c>
      <c r="G26" s="13"/>
      <c r="H26" s="73"/>
    </row>
    <row r="27" spans="1:8" s="4" customFormat="1" ht="24.75" customHeight="1">
      <c r="A27" s="36" t="s">
        <v>15</v>
      </c>
      <c r="B27" s="5">
        <f t="shared" si="0"/>
        <v>2366.7899999999995</v>
      </c>
      <c r="C27" s="23">
        <f>C28+C29</f>
        <v>0</v>
      </c>
      <c r="D27" s="8"/>
      <c r="E27" s="23">
        <f>E28+E29</f>
        <v>44.381</v>
      </c>
      <c r="F27" s="24">
        <f>F28+F29</f>
        <v>2322.4089999999997</v>
      </c>
      <c r="G27" s="13"/>
      <c r="H27" s="73"/>
    </row>
    <row r="28" spans="1:8" s="4" customFormat="1" ht="25.5" customHeight="1">
      <c r="A28" s="36" t="s">
        <v>16</v>
      </c>
      <c r="B28" s="5">
        <f t="shared" si="0"/>
        <v>2340.0449999999996</v>
      </c>
      <c r="C28" s="208"/>
      <c r="D28" s="208"/>
      <c r="E28" s="11">
        <v>44.381</v>
      </c>
      <c r="F28" s="12">
        <f>2221.669+73.995</f>
        <v>2295.6639999999998</v>
      </c>
      <c r="G28" s="13"/>
      <c r="H28" s="73"/>
    </row>
    <row r="29" spans="1:8" s="4" customFormat="1" ht="20.25" customHeight="1">
      <c r="A29" s="36" t="s">
        <v>17</v>
      </c>
      <c r="B29" s="5">
        <f t="shared" si="0"/>
        <v>26.745</v>
      </c>
      <c r="C29" s="208"/>
      <c r="D29" s="208"/>
      <c r="E29" s="11"/>
      <c r="F29" s="12">
        <v>26.745</v>
      </c>
      <c r="G29" s="13"/>
      <c r="H29" s="73"/>
    </row>
    <row r="30" spans="1:8" s="4" customFormat="1" ht="50.25" customHeight="1">
      <c r="A30" s="86" t="s">
        <v>9</v>
      </c>
      <c r="B30" s="5">
        <f t="shared" si="0"/>
        <v>117.469</v>
      </c>
      <c r="C30" s="208"/>
      <c r="D30" s="208"/>
      <c r="E30" s="23">
        <f>E31+E32</f>
        <v>86.14</v>
      </c>
      <c r="F30" s="24">
        <f>F31+F32</f>
        <v>31.328999999999997</v>
      </c>
      <c r="G30" s="7"/>
      <c r="H30" s="40"/>
    </row>
    <row r="31" spans="1:8" s="4" customFormat="1" ht="22.5" customHeight="1">
      <c r="A31" s="36" t="s">
        <v>18</v>
      </c>
      <c r="B31" s="5">
        <f t="shared" si="0"/>
        <v>97.805</v>
      </c>
      <c r="C31" s="8"/>
      <c r="D31" s="8"/>
      <c r="E31" s="8">
        <v>86.14</v>
      </c>
      <c r="F31" s="9">
        <v>11.665</v>
      </c>
      <c r="G31" s="7"/>
      <c r="H31" s="40"/>
    </row>
    <row r="32" spans="1:8" s="4" customFormat="1" ht="24.75" customHeight="1">
      <c r="A32" s="36" t="s">
        <v>15</v>
      </c>
      <c r="B32" s="5">
        <f t="shared" si="0"/>
        <v>19.663999999999998</v>
      </c>
      <c r="C32" s="8"/>
      <c r="D32" s="8"/>
      <c r="E32" s="23">
        <f>E33+E34</f>
        <v>0</v>
      </c>
      <c r="F32" s="24">
        <f>F33+F34</f>
        <v>19.663999999999998</v>
      </c>
      <c r="G32" s="7"/>
      <c r="H32" s="40"/>
    </row>
    <row r="33" spans="1:8" s="4" customFormat="1" ht="18" customHeight="1">
      <c r="A33" s="36" t="s">
        <v>16</v>
      </c>
      <c r="B33" s="5">
        <f t="shared" si="0"/>
        <v>16.246</v>
      </c>
      <c r="C33" s="208"/>
      <c r="D33" s="208"/>
      <c r="E33" s="208"/>
      <c r="F33" s="12">
        <v>16.246</v>
      </c>
      <c r="G33" s="7"/>
      <c r="H33" s="40"/>
    </row>
    <row r="34" spans="1:8" s="4" customFormat="1" ht="18" customHeight="1">
      <c r="A34" s="36" t="s">
        <v>17</v>
      </c>
      <c r="B34" s="5">
        <f t="shared" si="0"/>
        <v>3.418</v>
      </c>
      <c r="C34" s="208"/>
      <c r="D34" s="208"/>
      <c r="E34" s="208"/>
      <c r="F34" s="12">
        <v>3.418</v>
      </c>
      <c r="G34" s="7"/>
      <c r="H34" s="40"/>
    </row>
    <row r="35" spans="1:8" s="4" customFormat="1" ht="25.5" customHeight="1">
      <c r="A35" s="86" t="s">
        <v>32</v>
      </c>
      <c r="B35" s="5">
        <f t="shared" si="0"/>
        <v>120.27900000000001</v>
      </c>
      <c r="C35" s="23">
        <f>C36+C37</f>
        <v>72.635</v>
      </c>
      <c r="D35" s="208"/>
      <c r="E35" s="23">
        <f>E36+E37</f>
        <v>47.644000000000005</v>
      </c>
      <c r="F35" s="24">
        <f>F36+F37</f>
        <v>0</v>
      </c>
      <c r="G35" s="7"/>
      <c r="H35" s="40"/>
    </row>
    <row r="36" spans="1:8" s="4" customFormat="1" ht="23.25" customHeight="1">
      <c r="A36" s="36" t="s">
        <v>18</v>
      </c>
      <c r="B36" s="5">
        <f t="shared" si="0"/>
        <v>107.45400000000001</v>
      </c>
      <c r="C36" s="8">
        <v>72.635</v>
      </c>
      <c r="D36" s="8"/>
      <c r="E36" s="8">
        <v>34.819</v>
      </c>
      <c r="F36" s="9"/>
      <c r="G36" s="7"/>
      <c r="H36" s="40"/>
    </row>
    <row r="37" spans="1:8" s="4" customFormat="1" ht="23.25" customHeight="1">
      <c r="A37" s="36" t="s">
        <v>15</v>
      </c>
      <c r="B37" s="5">
        <f t="shared" si="0"/>
        <v>12.825</v>
      </c>
      <c r="C37" s="23">
        <f>C38+C39</f>
        <v>0</v>
      </c>
      <c r="D37" s="8"/>
      <c r="E37" s="23">
        <f>E38+E39</f>
        <v>12.825</v>
      </c>
      <c r="F37" s="24">
        <f>F38+F39</f>
        <v>0</v>
      </c>
      <c r="G37" s="7"/>
      <c r="H37" s="40"/>
    </row>
    <row r="38" spans="1:8" s="4" customFormat="1" ht="23.25" customHeight="1">
      <c r="A38" s="36" t="s">
        <v>16</v>
      </c>
      <c r="B38" s="5">
        <f t="shared" si="0"/>
        <v>0</v>
      </c>
      <c r="C38" s="208"/>
      <c r="D38" s="208"/>
      <c r="E38" s="208"/>
      <c r="F38" s="12"/>
      <c r="G38" s="7"/>
      <c r="H38" s="40"/>
    </row>
    <row r="39" spans="1:8" s="4" customFormat="1" ht="23.25" customHeight="1">
      <c r="A39" s="36" t="s">
        <v>17</v>
      </c>
      <c r="B39" s="5">
        <f t="shared" si="0"/>
        <v>12.825</v>
      </c>
      <c r="C39" s="208"/>
      <c r="D39" s="208"/>
      <c r="E39" s="208">
        <v>12.825</v>
      </c>
      <c r="F39" s="12"/>
      <c r="G39" s="7"/>
      <c r="H39" s="40"/>
    </row>
    <row r="40" spans="1:9" s="4" customFormat="1" ht="42" customHeight="1">
      <c r="A40" s="86" t="s">
        <v>33</v>
      </c>
      <c r="B40" s="5">
        <f t="shared" si="0"/>
        <v>33.439</v>
      </c>
      <c r="C40" s="208">
        <f>C41+C42</f>
        <v>0.84</v>
      </c>
      <c r="D40" s="208"/>
      <c r="E40" s="208">
        <f>E41+E42</f>
        <v>32.599</v>
      </c>
      <c r="F40" s="24"/>
      <c r="G40" s="7"/>
      <c r="H40" s="73"/>
      <c r="I40" s="7"/>
    </row>
    <row r="41" spans="1:8" s="4" customFormat="1" ht="19.5" customHeight="1">
      <c r="A41" s="36" t="s">
        <v>18</v>
      </c>
      <c r="B41" s="5">
        <f t="shared" si="0"/>
        <v>33.439</v>
      </c>
      <c r="C41" s="8">
        <v>0.84</v>
      </c>
      <c r="D41" s="8">
        <f>D40-D42</f>
        <v>0</v>
      </c>
      <c r="E41" s="8">
        <v>32.599</v>
      </c>
      <c r="F41" s="9"/>
      <c r="G41" s="7"/>
      <c r="H41" s="73"/>
    </row>
    <row r="42" spans="1:8" s="4" customFormat="1" ht="19.5" customHeight="1">
      <c r="A42" s="36" t="s">
        <v>15</v>
      </c>
      <c r="B42" s="5">
        <f t="shared" si="0"/>
        <v>0</v>
      </c>
      <c r="C42" s="8"/>
      <c r="D42" s="8"/>
      <c r="E42" s="23">
        <f>E43+E44</f>
        <v>0</v>
      </c>
      <c r="F42" s="24">
        <f>F43+F44</f>
        <v>0</v>
      </c>
      <c r="G42" s="7"/>
      <c r="H42" s="73"/>
    </row>
    <row r="43" spans="1:8" s="4" customFormat="1" ht="19.5" customHeight="1">
      <c r="A43" s="36" t="s">
        <v>16</v>
      </c>
      <c r="B43" s="5">
        <f t="shared" si="0"/>
        <v>0</v>
      </c>
      <c r="C43" s="208"/>
      <c r="D43" s="208"/>
      <c r="E43" s="208"/>
      <c r="F43" s="12"/>
      <c r="G43" s="7"/>
      <c r="H43" s="73"/>
    </row>
    <row r="44" spans="1:8" s="4" customFormat="1" ht="19.5" customHeight="1">
      <c r="A44" s="36" t="s">
        <v>17</v>
      </c>
      <c r="B44" s="5">
        <f t="shared" si="0"/>
        <v>0</v>
      </c>
      <c r="C44" s="208"/>
      <c r="D44" s="208"/>
      <c r="E44" s="208"/>
      <c r="F44" s="12"/>
      <c r="G44" s="7"/>
      <c r="H44" s="73"/>
    </row>
    <row r="45" spans="1:8" s="4" customFormat="1" ht="24.75" customHeight="1">
      <c r="A45" s="86" t="s">
        <v>10</v>
      </c>
      <c r="B45" s="5">
        <f t="shared" si="0"/>
        <v>854.353</v>
      </c>
      <c r="C45" s="8"/>
      <c r="D45" s="8"/>
      <c r="E45" s="23">
        <f>E46+E47</f>
        <v>362.328</v>
      </c>
      <c r="F45" s="24">
        <f>F46+F47</f>
        <v>492.025</v>
      </c>
      <c r="G45" s="13"/>
      <c r="H45" s="32"/>
    </row>
    <row r="46" spans="1:8" s="4" customFormat="1" ht="24.75" customHeight="1">
      <c r="A46" s="36" t="s">
        <v>18</v>
      </c>
      <c r="B46" s="5">
        <f t="shared" si="0"/>
        <v>447.53599999999994</v>
      </c>
      <c r="C46" s="8"/>
      <c r="D46" s="8"/>
      <c r="E46" s="8">
        <v>347.381</v>
      </c>
      <c r="F46" s="9">
        <v>100.155</v>
      </c>
      <c r="G46" s="13"/>
      <c r="H46" s="32"/>
    </row>
    <row r="47" spans="1:8" s="4" customFormat="1" ht="24.75" customHeight="1">
      <c r="A47" s="36" t="s">
        <v>15</v>
      </c>
      <c r="B47" s="5">
        <f t="shared" si="0"/>
        <v>406.817</v>
      </c>
      <c r="C47" s="8"/>
      <c r="D47" s="8"/>
      <c r="E47" s="23">
        <f>E48+E49</f>
        <v>14.947</v>
      </c>
      <c r="F47" s="24">
        <f>F48+F49</f>
        <v>391.87</v>
      </c>
      <c r="G47" s="13"/>
      <c r="H47" s="32"/>
    </row>
    <row r="48" spans="1:8" s="4" customFormat="1" ht="24.75" customHeight="1">
      <c r="A48" s="36" t="s">
        <v>16</v>
      </c>
      <c r="B48" s="5">
        <f t="shared" si="0"/>
        <v>317.89599999999996</v>
      </c>
      <c r="C48" s="8"/>
      <c r="D48" s="8"/>
      <c r="E48" s="11">
        <v>14.097</v>
      </c>
      <c r="F48" s="12">
        <f>277.039+26.76</f>
        <v>303.799</v>
      </c>
      <c r="G48" s="13"/>
      <c r="H48" s="32"/>
    </row>
    <row r="49" spans="1:8" s="4" customFormat="1" ht="24.75" customHeight="1">
      <c r="A49" s="36" t="s">
        <v>17</v>
      </c>
      <c r="B49" s="5">
        <f t="shared" si="0"/>
        <v>88.92099999999999</v>
      </c>
      <c r="C49" s="8"/>
      <c r="D49" s="8"/>
      <c r="E49" s="11">
        <v>0.85</v>
      </c>
      <c r="F49" s="12">
        <v>88.071</v>
      </c>
      <c r="G49" s="13"/>
      <c r="H49" s="32"/>
    </row>
    <row r="50" spans="1:8" s="4" customFormat="1" ht="24.75" customHeight="1">
      <c r="A50" s="86" t="s">
        <v>5</v>
      </c>
      <c r="B50" s="5">
        <f t="shared" si="0"/>
        <v>2388.419</v>
      </c>
      <c r="C50" s="23">
        <f>C51+C52</f>
        <v>336.323</v>
      </c>
      <c r="D50" s="208"/>
      <c r="E50" s="23">
        <f>E51+E52</f>
        <v>1288.103</v>
      </c>
      <c r="F50" s="24">
        <f>F51+F52</f>
        <v>763.9929999999999</v>
      </c>
      <c r="G50" s="13"/>
      <c r="H50" s="32"/>
    </row>
    <row r="51" spans="1:8" s="4" customFormat="1" ht="24.75" customHeight="1">
      <c r="A51" s="36" t="s">
        <v>18</v>
      </c>
      <c r="B51" s="5">
        <f t="shared" si="0"/>
        <v>1399.0140000000001</v>
      </c>
      <c r="C51" s="23">
        <v>336.323</v>
      </c>
      <c r="D51" s="23"/>
      <c r="E51" s="8">
        <v>794.566</v>
      </c>
      <c r="F51" s="9">
        <v>268.125</v>
      </c>
      <c r="G51" s="13"/>
      <c r="H51" s="32"/>
    </row>
    <row r="52" spans="1:8" s="4" customFormat="1" ht="24.75" customHeight="1">
      <c r="A52" s="36" t="s">
        <v>15</v>
      </c>
      <c r="B52" s="5">
        <f t="shared" si="0"/>
        <v>989.405</v>
      </c>
      <c r="C52" s="8"/>
      <c r="D52" s="8"/>
      <c r="E52" s="23">
        <f>E53+E54</f>
        <v>493.53700000000003</v>
      </c>
      <c r="F52" s="24">
        <f>F53+F54</f>
        <v>495.868</v>
      </c>
      <c r="G52" s="13"/>
      <c r="H52" s="32"/>
    </row>
    <row r="53" spans="1:8" s="4" customFormat="1" ht="24.75" customHeight="1">
      <c r="A53" s="36" t="s">
        <v>16</v>
      </c>
      <c r="B53" s="5">
        <f t="shared" si="0"/>
        <v>985.925</v>
      </c>
      <c r="C53" s="208"/>
      <c r="D53" s="208"/>
      <c r="E53" s="11">
        <f>474.617+15.44</f>
        <v>490.057</v>
      </c>
      <c r="F53" s="12">
        <f>437.044+58.824</f>
        <v>495.868</v>
      </c>
      <c r="G53" s="13"/>
      <c r="H53" s="32"/>
    </row>
    <row r="54" spans="1:8" s="4" customFormat="1" ht="24.75" customHeight="1">
      <c r="A54" s="36" t="s">
        <v>17</v>
      </c>
      <c r="B54" s="5">
        <f t="shared" si="0"/>
        <v>3.48</v>
      </c>
      <c r="C54" s="208"/>
      <c r="D54" s="208"/>
      <c r="E54" s="11">
        <v>3.48</v>
      </c>
      <c r="F54" s="209"/>
      <c r="G54" s="13"/>
      <c r="H54" s="32"/>
    </row>
    <row r="55" spans="1:8" s="4" customFormat="1" ht="50.25" customHeight="1">
      <c r="A55" s="86" t="s">
        <v>11</v>
      </c>
      <c r="B55" s="5">
        <f t="shared" si="0"/>
        <v>5348.099999999999</v>
      </c>
      <c r="C55" s="8"/>
      <c r="D55" s="8"/>
      <c r="E55" s="23">
        <f>E56+E57</f>
        <v>1192.5249999999999</v>
      </c>
      <c r="F55" s="24">
        <f>F56+F57</f>
        <v>4155.575</v>
      </c>
      <c r="G55" s="13"/>
      <c r="H55" s="32"/>
    </row>
    <row r="56" spans="1:8" s="4" customFormat="1" ht="26.25" customHeight="1">
      <c r="A56" s="36" t="s">
        <v>18</v>
      </c>
      <c r="B56" s="5">
        <f t="shared" si="0"/>
        <v>2574.0699999999997</v>
      </c>
      <c r="C56" s="8"/>
      <c r="D56" s="8"/>
      <c r="E56" s="23">
        <v>1149.944</v>
      </c>
      <c r="F56" s="24">
        <v>1424.126</v>
      </c>
      <c r="G56" s="13"/>
      <c r="H56" s="32"/>
    </row>
    <row r="57" spans="1:8" s="4" customFormat="1" ht="26.25" customHeight="1">
      <c r="A57" s="36" t="s">
        <v>15</v>
      </c>
      <c r="B57" s="5">
        <f t="shared" si="0"/>
        <v>2774.0299999999997</v>
      </c>
      <c r="C57" s="8"/>
      <c r="D57" s="8"/>
      <c r="E57" s="23">
        <f>E58+E59</f>
        <v>42.581</v>
      </c>
      <c r="F57" s="24">
        <f>F58+F59</f>
        <v>2731.4489999999996</v>
      </c>
      <c r="G57" s="13"/>
      <c r="H57" s="32"/>
    </row>
    <row r="58" spans="1:8" s="4" customFormat="1" ht="26.25" customHeight="1">
      <c r="A58" s="36" t="s">
        <v>16</v>
      </c>
      <c r="B58" s="5">
        <f t="shared" si="0"/>
        <v>682.373</v>
      </c>
      <c r="C58" s="8"/>
      <c r="D58" s="8"/>
      <c r="E58" s="11">
        <v>19.441</v>
      </c>
      <c r="F58" s="12">
        <v>662.932</v>
      </c>
      <c r="G58" s="13"/>
      <c r="H58" s="32"/>
    </row>
    <row r="59" spans="1:8" s="4" customFormat="1" ht="26.25" customHeight="1">
      <c r="A59" s="36" t="s">
        <v>17</v>
      </c>
      <c r="B59" s="5">
        <f t="shared" si="0"/>
        <v>2091.6569999999997</v>
      </c>
      <c r="C59" s="8"/>
      <c r="D59" s="8"/>
      <c r="E59" s="11">
        <v>23.14</v>
      </c>
      <c r="F59" s="12">
        <v>2068.517</v>
      </c>
      <c r="G59" s="13"/>
      <c r="H59" s="32"/>
    </row>
    <row r="60" spans="1:8" s="4" customFormat="1" ht="24.75" customHeight="1">
      <c r="A60" s="87" t="s">
        <v>39</v>
      </c>
      <c r="B60" s="5">
        <f t="shared" si="0"/>
        <v>134.65800000000002</v>
      </c>
      <c r="C60" s="8"/>
      <c r="D60" s="8"/>
      <c r="E60" s="8">
        <f>E61+E62</f>
        <v>63.324</v>
      </c>
      <c r="F60" s="9">
        <f>F61+F62</f>
        <v>71.334</v>
      </c>
      <c r="G60" s="7"/>
      <c r="H60" s="32"/>
    </row>
    <row r="61" spans="1:8" s="4" customFormat="1" ht="21.75" customHeight="1">
      <c r="A61" s="36" t="s">
        <v>18</v>
      </c>
      <c r="B61" s="5">
        <f t="shared" si="0"/>
        <v>134.65800000000002</v>
      </c>
      <c r="C61" s="8"/>
      <c r="D61" s="8"/>
      <c r="E61" s="23">
        <v>63.324</v>
      </c>
      <c r="F61" s="24">
        <v>71.334</v>
      </c>
      <c r="G61" s="7"/>
      <c r="H61" s="68"/>
    </row>
    <row r="62" spans="1:8" s="4" customFormat="1" ht="16.5" customHeight="1">
      <c r="A62" s="36" t="s">
        <v>15</v>
      </c>
      <c r="B62" s="5">
        <f t="shared" si="0"/>
        <v>0</v>
      </c>
      <c r="C62" s="8"/>
      <c r="D62" s="8"/>
      <c r="E62" s="23">
        <f>E63+E64</f>
        <v>0</v>
      </c>
      <c r="F62" s="24">
        <f>F63+F64</f>
        <v>0</v>
      </c>
      <c r="G62" s="7"/>
      <c r="H62" s="68"/>
    </row>
    <row r="63" spans="1:8" s="4" customFormat="1" ht="18" customHeight="1">
      <c r="A63" s="36" t="s">
        <v>16</v>
      </c>
      <c r="B63" s="5">
        <f t="shared" si="0"/>
        <v>0</v>
      </c>
      <c r="C63" s="8"/>
      <c r="D63" s="8"/>
      <c r="E63" s="8"/>
      <c r="F63" s="9"/>
      <c r="G63" s="7"/>
      <c r="H63" s="68"/>
    </row>
    <row r="64" spans="1:8" s="4" customFormat="1" ht="18" customHeight="1">
      <c r="A64" s="36" t="s">
        <v>17</v>
      </c>
      <c r="B64" s="5">
        <f t="shared" si="0"/>
        <v>0</v>
      </c>
      <c r="C64" s="8"/>
      <c r="D64" s="8"/>
      <c r="E64" s="8"/>
      <c r="F64" s="9"/>
      <c r="G64" s="7"/>
      <c r="H64" s="68"/>
    </row>
    <row r="65" spans="1:8" s="4" customFormat="1" ht="24.75" customHeight="1">
      <c r="A65" s="87" t="s">
        <v>4</v>
      </c>
      <c r="B65" s="5">
        <f t="shared" si="0"/>
        <v>753.29</v>
      </c>
      <c r="C65" s="8">
        <f>C66+C67</f>
        <v>753.29</v>
      </c>
      <c r="D65" s="8"/>
      <c r="E65" s="8"/>
      <c r="F65" s="9"/>
      <c r="G65" s="7"/>
      <c r="H65" s="68"/>
    </row>
    <row r="66" spans="1:8" s="4" customFormat="1" ht="21.75" customHeight="1">
      <c r="A66" s="36" t="s">
        <v>18</v>
      </c>
      <c r="B66" s="5">
        <f t="shared" si="0"/>
        <v>753.29</v>
      </c>
      <c r="C66" s="23">
        <v>753.29</v>
      </c>
      <c r="D66" s="8"/>
      <c r="E66" s="23"/>
      <c r="F66" s="24"/>
      <c r="G66" s="7"/>
      <c r="H66" s="68"/>
    </row>
    <row r="67" spans="1:8" s="4" customFormat="1" ht="18" customHeight="1">
      <c r="A67" s="36" t="s">
        <v>15</v>
      </c>
      <c r="B67" s="5">
        <f>C67+D67+E67+F67</f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  <c r="G67" s="7"/>
      <c r="H67" s="68"/>
    </row>
    <row r="68" spans="1:8" s="4" customFormat="1" ht="19.5" customHeight="1">
      <c r="A68" s="36" t="s">
        <v>16</v>
      </c>
      <c r="B68" s="5">
        <f>C68+D68+E68+F68</f>
        <v>0</v>
      </c>
      <c r="C68" s="11"/>
      <c r="D68" s="8"/>
      <c r="E68" s="8"/>
      <c r="F68" s="9"/>
      <c r="G68" s="7"/>
      <c r="H68" s="68"/>
    </row>
    <row r="69" spans="1:8" s="4" customFormat="1" ht="19.5" customHeight="1" thickBot="1">
      <c r="A69" s="37" t="s">
        <v>17</v>
      </c>
      <c r="B69" s="72">
        <f>C69+D69+E69+F69</f>
        <v>0</v>
      </c>
      <c r="C69" s="16"/>
      <c r="D69" s="15"/>
      <c r="E69" s="15"/>
      <c r="F69" s="20"/>
      <c r="G69" s="7"/>
      <c r="H69" s="68"/>
    </row>
    <row r="70" spans="1:8" s="7" customFormat="1" ht="25.5" customHeight="1">
      <c r="A70" s="140" t="s">
        <v>26</v>
      </c>
      <c r="B70" s="95">
        <f>C70+D70+E70+F70</f>
        <v>243.411</v>
      </c>
      <c r="C70" s="45"/>
      <c r="D70" s="45"/>
      <c r="E70" s="212">
        <v>243.411</v>
      </c>
      <c r="F70" s="47"/>
      <c r="H70" s="40"/>
    </row>
    <row r="71" spans="1:17" ht="18">
      <c r="A71" s="54" t="s">
        <v>27</v>
      </c>
      <c r="B71" s="5">
        <f aca="true" t="shared" si="1" ref="B71:B78">C71+D71+E71+F71</f>
        <v>99.384</v>
      </c>
      <c r="C71" s="48"/>
      <c r="D71" s="48"/>
      <c r="E71" s="213">
        <v>99.384</v>
      </c>
      <c r="F71" s="50"/>
      <c r="J71" s="157"/>
      <c r="L71" s="157"/>
      <c r="M71" s="157"/>
      <c r="N71" s="157"/>
      <c r="O71" s="157"/>
      <c r="Q71" s="157"/>
    </row>
    <row r="72" spans="1:17" ht="18">
      <c r="A72" s="54" t="s">
        <v>34</v>
      </c>
      <c r="B72" s="5">
        <f t="shared" si="1"/>
        <v>624.173</v>
      </c>
      <c r="C72" s="48"/>
      <c r="D72" s="48"/>
      <c r="E72" s="213">
        <v>563.916</v>
      </c>
      <c r="F72" s="214">
        <v>60.257</v>
      </c>
      <c r="J72" s="157"/>
      <c r="L72" s="157"/>
      <c r="M72" s="157"/>
      <c r="N72" s="157"/>
      <c r="O72" s="157"/>
      <c r="Q72" s="157"/>
    </row>
    <row r="73" spans="1:8" s="161" customFormat="1" ht="23.25" customHeight="1">
      <c r="A73" s="62" t="s">
        <v>35</v>
      </c>
      <c r="B73" s="5">
        <f t="shared" si="1"/>
        <v>1725.0300000000002</v>
      </c>
      <c r="C73" s="52">
        <v>1714.38</v>
      </c>
      <c r="D73" s="52"/>
      <c r="E73" s="52"/>
      <c r="F73" s="53">
        <v>10.65</v>
      </c>
      <c r="G73" s="7"/>
      <c r="H73" s="158"/>
    </row>
    <row r="74" spans="1:8" s="161" customFormat="1" ht="23.25" customHeight="1">
      <c r="A74" s="54" t="s">
        <v>28</v>
      </c>
      <c r="B74" s="5">
        <f t="shared" si="1"/>
        <v>741.597</v>
      </c>
      <c r="C74" s="10">
        <v>514.092</v>
      </c>
      <c r="D74" s="10"/>
      <c r="E74" s="10">
        <v>165.984</v>
      </c>
      <c r="F74" s="19">
        <v>61.521</v>
      </c>
      <c r="G74" s="7"/>
      <c r="H74" s="159"/>
    </row>
    <row r="75" spans="1:8" s="161" customFormat="1" ht="36.75" customHeight="1">
      <c r="A75" s="62" t="s">
        <v>29</v>
      </c>
      <c r="B75" s="104">
        <f t="shared" si="1"/>
        <v>426.114</v>
      </c>
      <c r="C75" s="215"/>
      <c r="D75" s="215"/>
      <c r="E75" s="215">
        <v>426.114</v>
      </c>
      <c r="F75" s="216"/>
      <c r="G75" s="7"/>
      <c r="H75" s="160"/>
    </row>
    <row r="76" spans="1:8" s="161" customFormat="1" ht="36.75" customHeight="1">
      <c r="A76" s="105" t="s">
        <v>30</v>
      </c>
      <c r="B76" s="104">
        <f t="shared" si="1"/>
        <v>59.959</v>
      </c>
      <c r="C76" s="215"/>
      <c r="D76" s="215"/>
      <c r="E76" s="215"/>
      <c r="F76" s="216">
        <v>59.959</v>
      </c>
      <c r="G76" s="98"/>
      <c r="H76" s="160"/>
    </row>
    <row r="77" spans="1:8" s="161" customFormat="1" ht="36.75" customHeight="1" thickBot="1">
      <c r="A77" s="106" t="s">
        <v>31</v>
      </c>
      <c r="B77" s="107">
        <f t="shared" si="1"/>
        <v>243.606</v>
      </c>
      <c r="C77" s="217"/>
      <c r="D77" s="217"/>
      <c r="E77" s="217">
        <v>8.899</v>
      </c>
      <c r="F77" s="218">
        <v>234.707</v>
      </c>
      <c r="G77" s="7"/>
      <c r="H77" s="68"/>
    </row>
    <row r="78" spans="1:8" s="161" customFormat="1" ht="23.25" customHeight="1" thickBot="1">
      <c r="A78" s="110" t="s">
        <v>40</v>
      </c>
      <c r="B78" s="88">
        <f t="shared" si="1"/>
        <v>108876.59099999999</v>
      </c>
      <c r="C78" s="89">
        <f>C5+C10+C15+C20+C25+C30+C35+C40+C45+C50+C55+C60+C65+C70+C71+C72+C73+C74+C75+C76+C77</f>
        <v>46440.82899999999</v>
      </c>
      <c r="D78" s="89">
        <f>D5+D10+D15+D20+D25+D30+D35+D40+D45+D50+D55+D60+D65+D70+D71+D72+D73+D74+D75+D76+D77</f>
        <v>1396.691</v>
      </c>
      <c r="E78" s="89">
        <f>E5+E10+E15+E20+E25+E30+E35+E40+E45+E50+E55+E60+E65+E70+E71+E72+E73+E74+E75+E76+E77</f>
        <v>27465.245999999996</v>
      </c>
      <c r="F78" s="89">
        <f>F5+F10+F15+F20+F25+F30+F35+F40+F45+F50+F55+F60+F65+F70+F71+F72+F73+F74+F75+F76+F77</f>
        <v>33573.825000000004</v>
      </c>
      <c r="G78" s="101"/>
      <c r="H78" s="68"/>
    </row>
    <row r="79" spans="1:8" s="161" customFormat="1" ht="23.25" customHeight="1">
      <c r="A79"/>
      <c r="B79"/>
      <c r="C79"/>
      <c r="D79"/>
      <c r="E79"/>
      <c r="F79"/>
      <c r="G79" s="7"/>
      <c r="H79" s="68"/>
    </row>
    <row r="80" spans="1:8" s="161" customFormat="1" ht="23.25" customHeight="1">
      <c r="A80"/>
      <c r="B80"/>
      <c r="C80"/>
      <c r="D80"/>
      <c r="E80"/>
      <c r="F80"/>
      <c r="G80" s="7"/>
      <c r="H80" s="68"/>
    </row>
    <row r="81" spans="1:6" s="161" customFormat="1" ht="38.25" customHeight="1">
      <c r="A81"/>
      <c r="B81"/>
      <c r="C81"/>
      <c r="D81"/>
      <c r="E81"/>
      <c r="F81"/>
    </row>
    <row r="82" spans="10:17" ht="12.75">
      <c r="J82" s="157"/>
      <c r="L82" s="157"/>
      <c r="M82" s="157"/>
      <c r="N82" s="157"/>
      <c r="O82" s="157"/>
      <c r="Q82" s="157"/>
    </row>
    <row r="83" spans="10:17" ht="12.75">
      <c r="J83" s="157"/>
      <c r="L83" s="157"/>
      <c r="M83" s="157"/>
      <c r="N83" s="157"/>
      <c r="O83" s="157"/>
      <c r="Q83" s="157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60" zoomScaleNormal="60" workbookViewId="0" topLeftCell="A1">
      <pane xSplit="1" ySplit="4" topLeftCell="B5" activePane="bottomRight" state="frozen"/>
      <selection pane="topLeft" activeCell="E77" sqref="E77"/>
      <selection pane="topRight" activeCell="E77" sqref="E77"/>
      <selection pane="bottomLeft" activeCell="E77" sqref="E77"/>
      <selection pane="bottomRight" activeCell="A2" sqref="A2:IV4"/>
    </sheetView>
  </sheetViews>
  <sheetFormatPr defaultColWidth="9.00390625" defaultRowHeight="12.75"/>
  <cols>
    <col min="1" max="1" width="59.125" style="0" customWidth="1"/>
    <col min="2" max="6" width="25.25390625" style="0" customWidth="1"/>
    <col min="7" max="7" width="11.75390625" style="157" customWidth="1"/>
    <col min="8" max="8" width="27.00390625" style="157" customWidth="1"/>
    <col min="9" max="9" width="18.125" style="157" customWidth="1"/>
    <col min="10" max="16384" width="9.125" style="157" customWidth="1"/>
  </cols>
  <sheetData>
    <row r="1" spans="1:6" ht="23.25">
      <c r="A1" s="238" t="s">
        <v>44</v>
      </c>
      <c r="B1" s="238"/>
      <c r="C1" s="238"/>
      <c r="D1" s="238"/>
      <c r="E1" s="238"/>
      <c r="F1" s="238"/>
    </row>
    <row r="2" spans="1:6" s="163" customFormat="1" ht="23.25">
      <c r="A2" s="239" t="s">
        <v>64</v>
      </c>
      <c r="B2" s="239"/>
      <c r="C2" s="239"/>
      <c r="D2" s="240"/>
      <c r="E2" s="240"/>
      <c r="F2" s="240"/>
    </row>
    <row r="3" spans="1:6" ht="18.75" thickBot="1">
      <c r="A3" s="3"/>
      <c r="B3" s="3"/>
      <c r="C3" s="3"/>
      <c r="D3" s="3"/>
      <c r="E3" s="3"/>
      <c r="F3" s="141" t="s">
        <v>42</v>
      </c>
    </row>
    <row r="4" spans="1:8" s="165" customFormat="1" ht="29.25" customHeight="1" thickBot="1">
      <c r="A4" s="78" t="s">
        <v>65</v>
      </c>
      <c r="B4" s="122"/>
      <c r="C4" s="92" t="s">
        <v>0</v>
      </c>
      <c r="D4" s="92" t="s">
        <v>1</v>
      </c>
      <c r="E4" s="92" t="s">
        <v>2</v>
      </c>
      <c r="F4" s="93" t="s">
        <v>3</v>
      </c>
      <c r="G4" s="7"/>
      <c r="H4" s="164"/>
    </row>
    <row r="5" spans="1:8" s="4" customFormat="1" ht="36.75" customHeight="1">
      <c r="A5" s="82" t="s">
        <v>7</v>
      </c>
      <c r="B5" s="191">
        <f aca="true" t="shared" si="0" ref="B5:B27">C5+D5+E5+F5</f>
        <v>225259.328</v>
      </c>
      <c r="C5" s="229">
        <f>C6+C7</f>
        <v>103573.119</v>
      </c>
      <c r="D5" s="229">
        <f>D6+D7</f>
        <v>3528.885</v>
      </c>
      <c r="E5" s="229">
        <f>E6+E7</f>
        <v>54392.710999999996</v>
      </c>
      <c r="F5" s="230">
        <f>F6+F7</f>
        <v>63764.613000000005</v>
      </c>
      <c r="G5" s="13"/>
      <c r="H5" s="73"/>
    </row>
    <row r="6" spans="1:9" s="4" customFormat="1" ht="27" customHeight="1">
      <c r="A6" s="36" t="s">
        <v>18</v>
      </c>
      <c r="B6" s="195">
        <f t="shared" si="0"/>
        <v>182100.241</v>
      </c>
      <c r="C6" s="177">
        <f>'июль факт'!C6+'август  факт'!C6+'сентябрь  факт'!C6</f>
        <v>102789.19900000001</v>
      </c>
      <c r="D6" s="177">
        <f>'июль факт'!D6+'август  факт'!D6+'сентябрь  факт'!D6</f>
        <v>3525.565</v>
      </c>
      <c r="E6" s="177">
        <f>'июль факт'!E6+'август  факт'!E6+'сентябрь  факт'!E6</f>
        <v>52249.683</v>
      </c>
      <c r="F6" s="178">
        <f>'июль факт'!F6+'август  факт'!F6+'сентябрь  факт'!F6</f>
        <v>23535.794</v>
      </c>
      <c r="G6" s="13"/>
      <c r="H6" s="73"/>
      <c r="I6" s="73"/>
    </row>
    <row r="7" spans="1:8" s="4" customFormat="1" ht="20.25" customHeight="1">
      <c r="A7" s="36" t="s">
        <v>15</v>
      </c>
      <c r="B7" s="195">
        <f t="shared" si="0"/>
        <v>43159.08700000001</v>
      </c>
      <c r="C7" s="177">
        <f>C8+C9</f>
        <v>783.9200000000001</v>
      </c>
      <c r="D7" s="183">
        <f>D8+D9</f>
        <v>3.3200000000000003</v>
      </c>
      <c r="E7" s="183">
        <f>E8+E9</f>
        <v>2143.0280000000002</v>
      </c>
      <c r="F7" s="231">
        <f>F8+F9</f>
        <v>40228.819</v>
      </c>
      <c r="G7" s="13"/>
      <c r="H7" s="73"/>
    </row>
    <row r="8" spans="1:8" s="4" customFormat="1" ht="21.75" customHeight="1">
      <c r="A8" s="36" t="s">
        <v>16</v>
      </c>
      <c r="B8" s="195">
        <f t="shared" si="0"/>
        <v>11990.698999999999</v>
      </c>
      <c r="C8" s="185">
        <f>'июль факт'!C8+'август  факт'!C8+'сентябрь  факт'!C8</f>
        <v>166.06</v>
      </c>
      <c r="D8" s="185">
        <f>'июль факт'!D8+'август  факт'!D8+'сентябрь  факт'!D8</f>
        <v>0</v>
      </c>
      <c r="E8" s="185">
        <f>'июль факт'!E8+'август  факт'!E8+'сентябрь  факт'!E8</f>
        <v>263.62399999999997</v>
      </c>
      <c r="F8" s="186">
        <f>'июль факт'!F8+'август  факт'!F8+'сентябрь  факт'!F8</f>
        <v>11561.015</v>
      </c>
      <c r="G8" s="13"/>
      <c r="H8" s="73"/>
    </row>
    <row r="9" spans="1:8" s="4" customFormat="1" ht="24.75" customHeight="1">
      <c r="A9" s="36" t="s">
        <v>17</v>
      </c>
      <c r="B9" s="195">
        <f t="shared" si="0"/>
        <v>31168.388</v>
      </c>
      <c r="C9" s="185">
        <f>'июль факт'!C9+'август  факт'!C9+'сентябрь  факт'!C9</f>
        <v>617.86</v>
      </c>
      <c r="D9" s="185">
        <f>'июль факт'!D9+'август  факт'!D9+'сентябрь  факт'!D9</f>
        <v>3.3200000000000003</v>
      </c>
      <c r="E9" s="185">
        <f>'июль факт'!E9+'август  факт'!E9+'сентябрь  факт'!E9</f>
        <v>1879.4040000000002</v>
      </c>
      <c r="F9" s="186">
        <f>'июль факт'!F9+'август  факт'!F9+'сентябрь  факт'!F9</f>
        <v>28667.804</v>
      </c>
      <c r="G9" s="7"/>
      <c r="H9" s="73"/>
    </row>
    <row r="10" spans="1:8" s="4" customFormat="1" ht="47.25" customHeight="1">
      <c r="A10" s="86" t="s">
        <v>13</v>
      </c>
      <c r="B10" s="195">
        <f t="shared" si="0"/>
        <v>13791.301</v>
      </c>
      <c r="C10" s="183">
        <f>C11+C12</f>
        <v>1779.8200000000002</v>
      </c>
      <c r="D10" s="183"/>
      <c r="E10" s="183">
        <f>E11+E12</f>
        <v>4655.755999999999</v>
      </c>
      <c r="F10" s="231">
        <f>F11+F12</f>
        <v>7355.725</v>
      </c>
      <c r="G10" s="13"/>
      <c r="H10" s="73"/>
    </row>
    <row r="11" spans="1:8" s="4" customFormat="1" ht="21.75" customHeight="1">
      <c r="A11" s="36" t="s">
        <v>18</v>
      </c>
      <c r="B11" s="195">
        <f t="shared" si="0"/>
        <v>8427.549</v>
      </c>
      <c r="C11" s="177">
        <f>'июль факт'!C11+'август  факт'!C11+'сентябрь  факт'!C11</f>
        <v>1596.6060000000002</v>
      </c>
      <c r="D11" s="177">
        <f>'июль факт'!D11+'август  факт'!D11+'сентябрь  факт'!D11</f>
        <v>0</v>
      </c>
      <c r="E11" s="177">
        <f>'июль факт'!E11+'август  факт'!E11+'сентябрь  факт'!E11</f>
        <v>3910.087</v>
      </c>
      <c r="F11" s="178">
        <f>'июль факт'!F11+'август  факт'!F11+'сентябрь  факт'!F11</f>
        <v>2920.856</v>
      </c>
      <c r="G11" s="13"/>
      <c r="H11" s="73"/>
    </row>
    <row r="12" spans="1:8" s="4" customFormat="1" ht="19.5" customHeight="1">
      <c r="A12" s="36" t="s">
        <v>15</v>
      </c>
      <c r="B12" s="195">
        <f t="shared" si="0"/>
        <v>5363.752</v>
      </c>
      <c r="C12" s="177">
        <f>C13+C14</f>
        <v>183.214</v>
      </c>
      <c r="D12" s="183">
        <f>D13+D14</f>
        <v>0</v>
      </c>
      <c r="E12" s="183">
        <f>E13+E14</f>
        <v>745.6689999999999</v>
      </c>
      <c r="F12" s="231">
        <f>F13+F14</f>
        <v>4434.869000000001</v>
      </c>
      <c r="G12" s="13"/>
      <c r="H12" s="73"/>
    </row>
    <row r="13" spans="1:8" s="4" customFormat="1" ht="17.25" customHeight="1">
      <c r="A13" s="36" t="s">
        <v>16</v>
      </c>
      <c r="B13" s="195">
        <f t="shared" si="0"/>
        <v>3104.0950000000003</v>
      </c>
      <c r="C13" s="185">
        <f>'июль факт'!C13+'август  факт'!C13+'сентябрь  факт'!C13</f>
        <v>0</v>
      </c>
      <c r="D13" s="185">
        <f>'июль факт'!D13+'август  факт'!D13+'сентябрь  факт'!D13</f>
        <v>0</v>
      </c>
      <c r="E13" s="185">
        <f>'июль факт'!E13+'август  факт'!E13+'сентябрь  факт'!E13</f>
        <v>139.95999999999998</v>
      </c>
      <c r="F13" s="186">
        <f>'июль факт'!F13+'август  факт'!F13+'сентябрь  факт'!F13</f>
        <v>2964.135</v>
      </c>
      <c r="G13" s="13"/>
      <c r="H13" s="73"/>
    </row>
    <row r="14" spans="1:8" s="4" customFormat="1" ht="17.25" customHeight="1">
      <c r="A14" s="36" t="s">
        <v>17</v>
      </c>
      <c r="B14" s="195">
        <f t="shared" si="0"/>
        <v>2259.657</v>
      </c>
      <c r="C14" s="185">
        <f>'июль факт'!C14+'август  факт'!C14+'сентябрь  факт'!C14</f>
        <v>183.214</v>
      </c>
      <c r="D14" s="185">
        <f>'июль факт'!D14+'август  факт'!D14+'сентябрь  факт'!D14</f>
        <v>0</v>
      </c>
      <c r="E14" s="185">
        <f>'июль факт'!E14+'август  факт'!E14+'сентябрь  факт'!E14</f>
        <v>605.709</v>
      </c>
      <c r="F14" s="186">
        <f>'июль факт'!F14+'август  факт'!F14+'сентябрь  факт'!F14</f>
        <v>1470.734</v>
      </c>
      <c r="G14" s="13"/>
      <c r="H14" s="73"/>
    </row>
    <row r="15" spans="1:8" s="4" customFormat="1" ht="35.25" customHeight="1">
      <c r="A15" s="86" t="s">
        <v>6</v>
      </c>
      <c r="B15" s="195">
        <f t="shared" si="0"/>
        <v>3720.889</v>
      </c>
      <c r="C15" s="183">
        <f>C16+C17</f>
        <v>3720.889</v>
      </c>
      <c r="D15" s="177"/>
      <c r="E15" s="177"/>
      <c r="F15" s="178"/>
      <c r="G15" s="7"/>
      <c r="H15" s="40"/>
    </row>
    <row r="16" spans="1:8" s="4" customFormat="1" ht="19.5" customHeight="1">
      <c r="A16" s="36" t="s">
        <v>18</v>
      </c>
      <c r="B16" s="195">
        <f t="shared" si="0"/>
        <v>3720.076</v>
      </c>
      <c r="C16" s="177">
        <f>'июль факт'!C16+'август  факт'!C16+'сентябрь  факт'!C16</f>
        <v>3720.076</v>
      </c>
      <c r="D16" s="177">
        <f>'июль факт'!D16+'август  факт'!D16+'сентябрь  факт'!D16</f>
        <v>0</v>
      </c>
      <c r="E16" s="177">
        <f>'июль факт'!E16+'август  факт'!E16+'сентябрь  факт'!E16</f>
        <v>0</v>
      </c>
      <c r="F16" s="178">
        <f>'июль факт'!F16+'август  факт'!F16+'сентябрь  факт'!F16</f>
        <v>0</v>
      </c>
      <c r="G16" s="7"/>
      <c r="H16" s="40"/>
    </row>
    <row r="17" spans="1:8" s="4" customFormat="1" ht="18" customHeight="1">
      <c r="A17" s="36" t="s">
        <v>15</v>
      </c>
      <c r="B17" s="195">
        <f t="shared" si="0"/>
        <v>0.8130000000000001</v>
      </c>
      <c r="C17" s="177">
        <f>C18+C19</f>
        <v>0.8130000000000001</v>
      </c>
      <c r="D17" s="183">
        <f>D18+D19</f>
        <v>0</v>
      </c>
      <c r="E17" s="183">
        <f>E18+E19</f>
        <v>0</v>
      </c>
      <c r="F17" s="231">
        <f>F18+F19</f>
        <v>0</v>
      </c>
      <c r="G17" s="7"/>
      <c r="H17" s="40"/>
    </row>
    <row r="18" spans="1:8" s="4" customFormat="1" ht="19.5" customHeight="1">
      <c r="A18" s="36" t="s">
        <v>16</v>
      </c>
      <c r="B18" s="195">
        <f t="shared" si="0"/>
        <v>0.8130000000000001</v>
      </c>
      <c r="C18" s="185">
        <f>'июль факт'!C18+'август  факт'!C18+'сентябрь  факт'!C18</f>
        <v>0.8130000000000001</v>
      </c>
      <c r="D18" s="185">
        <f>'июль факт'!D18+'август  факт'!D18+'сентябрь  факт'!D18</f>
        <v>0</v>
      </c>
      <c r="E18" s="185">
        <f>'июль факт'!E18+'август  факт'!E18+'сентябрь  факт'!E18</f>
        <v>0</v>
      </c>
      <c r="F18" s="186">
        <f>'июль факт'!F18+'август  факт'!F18+'сентябрь  факт'!F18</f>
        <v>0</v>
      </c>
      <c r="G18" s="7"/>
      <c r="H18" s="40"/>
    </row>
    <row r="19" spans="1:8" s="4" customFormat="1" ht="19.5" customHeight="1">
      <c r="A19" s="36" t="s">
        <v>17</v>
      </c>
      <c r="B19" s="195">
        <f t="shared" si="0"/>
        <v>0</v>
      </c>
      <c r="C19" s="185">
        <f>'июль факт'!C19+'август  факт'!C19+'сентябрь  факт'!C19</f>
        <v>0</v>
      </c>
      <c r="D19" s="185">
        <f>'июль факт'!D19+'август  факт'!D19+'сентябрь  факт'!D19</f>
        <v>0</v>
      </c>
      <c r="E19" s="185">
        <f>'июль факт'!E19+'август  факт'!E19+'сентябрь  факт'!E19</f>
        <v>0</v>
      </c>
      <c r="F19" s="186">
        <f>'июль факт'!F19+'август  факт'!F19+'сентябрь  факт'!F19</f>
        <v>0</v>
      </c>
      <c r="G19" s="7"/>
      <c r="H19" s="40"/>
    </row>
    <row r="20" spans="1:8" s="4" customFormat="1" ht="51" customHeight="1">
      <c r="A20" s="86" t="s">
        <v>36</v>
      </c>
      <c r="B20" s="195">
        <f t="shared" si="0"/>
        <v>604.463</v>
      </c>
      <c r="C20" s="183">
        <f>C21+C22</f>
        <v>32.900999999999996</v>
      </c>
      <c r="D20" s="183">
        <f>D21+D22</f>
        <v>214.003</v>
      </c>
      <c r="E20" s="183">
        <f>E21+E22</f>
        <v>118.46900000000001</v>
      </c>
      <c r="F20" s="231">
        <f>F21+F22</f>
        <v>239.09000000000003</v>
      </c>
      <c r="G20" s="13"/>
      <c r="H20" s="73"/>
    </row>
    <row r="21" spans="1:8" s="4" customFormat="1" ht="21.75" customHeight="1">
      <c r="A21" s="36" t="s">
        <v>18</v>
      </c>
      <c r="B21" s="195">
        <f t="shared" si="0"/>
        <v>549.583</v>
      </c>
      <c r="C21" s="177">
        <f>'июль факт'!C21+'август  факт'!C21+'сентябрь  факт'!C21</f>
        <v>32.900999999999996</v>
      </c>
      <c r="D21" s="177">
        <f>'июль факт'!D21+'август  факт'!D21+'сентябрь  факт'!D21</f>
        <v>214.003</v>
      </c>
      <c r="E21" s="177">
        <f>'июль факт'!E21+'август  факт'!E21+'сентябрь  факт'!E21</f>
        <v>118.46900000000001</v>
      </c>
      <c r="F21" s="178">
        <f>'июль факт'!F21+'август  факт'!F21+'сентябрь  факт'!F21</f>
        <v>184.21</v>
      </c>
      <c r="G21" s="13"/>
      <c r="H21" s="73"/>
    </row>
    <row r="22" spans="1:8" s="4" customFormat="1" ht="21" customHeight="1">
      <c r="A22" s="36" t="s">
        <v>15</v>
      </c>
      <c r="B22" s="195">
        <f t="shared" si="0"/>
        <v>54.88000000000001</v>
      </c>
      <c r="C22" s="177">
        <f>C23+C24</f>
        <v>0</v>
      </c>
      <c r="D22" s="183">
        <f>D23+D24</f>
        <v>0</v>
      </c>
      <c r="E22" s="183">
        <f>E23+E24</f>
        <v>0</v>
      </c>
      <c r="F22" s="231">
        <f>F23+F24</f>
        <v>54.88000000000001</v>
      </c>
      <c r="G22" s="13"/>
      <c r="H22" s="73"/>
    </row>
    <row r="23" spans="1:8" s="4" customFormat="1" ht="21.75" customHeight="1">
      <c r="A23" s="36" t="s">
        <v>16</v>
      </c>
      <c r="B23" s="195">
        <f t="shared" si="0"/>
        <v>54.88000000000001</v>
      </c>
      <c r="C23" s="185">
        <f>'июль факт'!C23+'август  факт'!C23+'сентябрь  факт'!C23</f>
        <v>0</v>
      </c>
      <c r="D23" s="185">
        <f>'июль факт'!D23+'август  факт'!D23+'сентябрь  факт'!D23</f>
        <v>0</v>
      </c>
      <c r="E23" s="185">
        <f>'июль факт'!E23+'август  факт'!E23+'сентябрь  факт'!E23</f>
        <v>0</v>
      </c>
      <c r="F23" s="186">
        <f>'июль факт'!F23+'август  факт'!F23+'сентябрь  факт'!F23</f>
        <v>54.88000000000001</v>
      </c>
      <c r="G23" s="13"/>
      <c r="H23" s="73"/>
    </row>
    <row r="24" spans="1:8" s="4" customFormat="1" ht="21" customHeight="1">
      <c r="A24" s="36" t="s">
        <v>17</v>
      </c>
      <c r="B24" s="195">
        <f t="shared" si="0"/>
        <v>0</v>
      </c>
      <c r="C24" s="185">
        <f>'июль факт'!C24+'август  факт'!C24+'сентябрь  факт'!C24</f>
        <v>0</v>
      </c>
      <c r="D24" s="185">
        <f>'июль факт'!D24+'август  факт'!D24+'сентябрь  факт'!D24</f>
        <v>0</v>
      </c>
      <c r="E24" s="185">
        <f>'июль факт'!E24+'август  факт'!E24+'сентябрь  факт'!E24</f>
        <v>0</v>
      </c>
      <c r="F24" s="186">
        <f>'июль факт'!F24+'август  факт'!F24+'сентябрь  факт'!F24</f>
        <v>0</v>
      </c>
      <c r="G24" s="13"/>
      <c r="H24" s="73"/>
    </row>
    <row r="25" spans="1:8" s="4" customFormat="1" ht="41.25" customHeight="1">
      <c r="A25" s="86" t="s">
        <v>8</v>
      </c>
      <c r="B25" s="195">
        <f t="shared" si="0"/>
        <v>35313.751000000004</v>
      </c>
      <c r="C25" s="183">
        <f>C26+C27</f>
        <v>20533.821</v>
      </c>
      <c r="D25" s="183"/>
      <c r="E25" s="183">
        <f>E26+E27</f>
        <v>5228.772</v>
      </c>
      <c r="F25" s="231">
        <f>F26+F27</f>
        <v>9551.158</v>
      </c>
      <c r="G25" s="13"/>
      <c r="H25" s="73"/>
    </row>
    <row r="26" spans="1:8" s="4" customFormat="1" ht="19.5" customHeight="1">
      <c r="A26" s="36" t="s">
        <v>18</v>
      </c>
      <c r="B26" s="195">
        <f t="shared" si="0"/>
        <v>28602.947999999997</v>
      </c>
      <c r="C26" s="177">
        <f>'июль факт'!C26+'август  факт'!C26+'сентябрь  факт'!C26</f>
        <v>20533.821</v>
      </c>
      <c r="D26" s="177">
        <f>'июль факт'!D26+'август  факт'!D26+'сентябрь  факт'!D26</f>
        <v>0</v>
      </c>
      <c r="E26" s="177">
        <f>'июль факт'!E26+'август  факт'!E26+'сентябрь  факт'!E26</f>
        <v>5120.008</v>
      </c>
      <c r="F26" s="178">
        <f>'июль факт'!F26+'август  факт'!F26+'сентябрь  факт'!F26</f>
        <v>2949.119</v>
      </c>
      <c r="G26" s="13"/>
      <c r="H26" s="73"/>
    </row>
    <row r="27" spans="1:8" s="4" customFormat="1" ht="24.75" customHeight="1">
      <c r="A27" s="36" t="s">
        <v>15</v>
      </c>
      <c r="B27" s="195">
        <f t="shared" si="0"/>
        <v>6710.803</v>
      </c>
      <c r="C27" s="177">
        <f>C28+C29</f>
        <v>0</v>
      </c>
      <c r="D27" s="183">
        <f>D28+D29</f>
        <v>0</v>
      </c>
      <c r="E27" s="183">
        <f>E28+E29</f>
        <v>108.764</v>
      </c>
      <c r="F27" s="231">
        <f>F28+F29</f>
        <v>6602.039</v>
      </c>
      <c r="G27" s="13"/>
      <c r="H27" s="73"/>
    </row>
    <row r="28" spans="1:8" s="4" customFormat="1" ht="25.5" customHeight="1">
      <c r="A28" s="36" t="s">
        <v>16</v>
      </c>
      <c r="B28" s="195">
        <f>E28+F28</f>
        <v>6629.863</v>
      </c>
      <c r="C28" s="185">
        <f>'июль факт'!C28+'август  факт'!C28+'сентябрь  факт'!C28</f>
        <v>0</v>
      </c>
      <c r="D28" s="185">
        <f>'июль факт'!D28+'август  факт'!D28+'сентябрь  факт'!D28</f>
        <v>0</v>
      </c>
      <c r="E28" s="185">
        <f>'июль факт'!E28+'август  факт'!E28+'сентябрь  факт'!E28</f>
        <v>108.764</v>
      </c>
      <c r="F28" s="186">
        <f>'июль факт'!F28+'август  факт'!F28+'сентябрь  факт'!F28</f>
        <v>6521.099</v>
      </c>
      <c r="G28" s="13"/>
      <c r="H28" s="73"/>
    </row>
    <row r="29" spans="1:8" s="4" customFormat="1" ht="20.25" customHeight="1">
      <c r="A29" s="36" t="s">
        <v>17</v>
      </c>
      <c r="B29" s="195">
        <f aca="true" t="shared" si="1" ref="B29:B60">C29+D29+E29+F29</f>
        <v>80.94</v>
      </c>
      <c r="C29" s="185">
        <f>'июль факт'!C29+'август  факт'!C29+'сентябрь  факт'!C29</f>
        <v>0</v>
      </c>
      <c r="D29" s="185">
        <f>'июль факт'!D29+'август  факт'!D29+'сентябрь  факт'!D29</f>
        <v>0</v>
      </c>
      <c r="E29" s="185">
        <f>'июль факт'!E29+'август  факт'!E29+'сентябрь  факт'!E29</f>
        <v>0</v>
      </c>
      <c r="F29" s="186">
        <f>'июль факт'!F29+'август  факт'!F29+'сентябрь  факт'!F29</f>
        <v>80.94</v>
      </c>
      <c r="G29" s="13"/>
      <c r="H29" s="73"/>
    </row>
    <row r="30" spans="1:8" s="4" customFormat="1" ht="50.25" customHeight="1">
      <c r="A30" s="86" t="s">
        <v>9</v>
      </c>
      <c r="B30" s="195">
        <f t="shared" si="1"/>
        <v>360.73900000000003</v>
      </c>
      <c r="C30" s="183">
        <f>C31+C32</f>
        <v>0</v>
      </c>
      <c r="D30" s="183">
        <f>D31+D32</f>
        <v>0</v>
      </c>
      <c r="E30" s="183">
        <f>E31+E32</f>
        <v>242.03300000000002</v>
      </c>
      <c r="F30" s="231">
        <f>F31+F32</f>
        <v>118.70599999999999</v>
      </c>
      <c r="G30" s="7"/>
      <c r="H30" s="40"/>
    </row>
    <row r="31" spans="1:8" s="4" customFormat="1" ht="22.5" customHeight="1">
      <c r="A31" s="36" t="s">
        <v>18</v>
      </c>
      <c r="B31" s="195">
        <f t="shared" si="1"/>
        <v>288.245</v>
      </c>
      <c r="C31" s="177">
        <f>'июль факт'!C31+'август  факт'!C31+'сентябрь  факт'!C31</f>
        <v>0</v>
      </c>
      <c r="D31" s="177">
        <f>'июль факт'!D31+'август  факт'!D31+'сентябрь  факт'!D31</f>
        <v>0</v>
      </c>
      <c r="E31" s="177">
        <f>'июль факт'!E31+'август  факт'!E31+'сентябрь  факт'!E31</f>
        <v>242.03300000000002</v>
      </c>
      <c r="F31" s="178">
        <f>'июль факт'!F31+'август  факт'!F31+'сентябрь  факт'!F31</f>
        <v>46.211999999999996</v>
      </c>
      <c r="G31" s="7"/>
      <c r="H31" s="40"/>
    </row>
    <row r="32" spans="1:8" s="4" customFormat="1" ht="24.75" customHeight="1">
      <c r="A32" s="36" t="s">
        <v>15</v>
      </c>
      <c r="B32" s="195">
        <f t="shared" si="1"/>
        <v>72.494</v>
      </c>
      <c r="C32" s="177">
        <f>C33+C34</f>
        <v>0</v>
      </c>
      <c r="D32" s="183">
        <f>D33+D34</f>
        <v>0</v>
      </c>
      <c r="E32" s="183">
        <f>E33+E34</f>
        <v>0</v>
      </c>
      <c r="F32" s="231">
        <f>F33+F34</f>
        <v>72.494</v>
      </c>
      <c r="G32" s="7"/>
      <c r="H32" s="40"/>
    </row>
    <row r="33" spans="1:8" s="4" customFormat="1" ht="18" customHeight="1">
      <c r="A33" s="36" t="s">
        <v>16</v>
      </c>
      <c r="B33" s="195">
        <f t="shared" si="1"/>
        <v>60.166</v>
      </c>
      <c r="C33" s="185">
        <f>'июль факт'!C33+'август  факт'!C33+'сентябрь  факт'!C33</f>
        <v>0</v>
      </c>
      <c r="D33" s="185">
        <f>'июль факт'!D33+'август  факт'!D33+'сентябрь  факт'!D33</f>
        <v>0</v>
      </c>
      <c r="E33" s="185">
        <f>'июль факт'!E33+'август  факт'!E33+'сентябрь  факт'!E33</f>
        <v>0</v>
      </c>
      <c r="F33" s="186">
        <f>'июль факт'!F33+'август  факт'!F33+'сентябрь  факт'!F33</f>
        <v>60.166</v>
      </c>
      <c r="G33" s="7"/>
      <c r="H33" s="40"/>
    </row>
    <row r="34" spans="1:8" s="4" customFormat="1" ht="18" customHeight="1">
      <c r="A34" s="36" t="s">
        <v>17</v>
      </c>
      <c r="B34" s="195">
        <f t="shared" si="1"/>
        <v>12.328</v>
      </c>
      <c r="C34" s="185">
        <f>'июль факт'!C34+'август  факт'!C34+'сентябрь  факт'!C34</f>
        <v>0</v>
      </c>
      <c r="D34" s="185">
        <f>'июль факт'!D34+'август  факт'!D34+'сентябрь  факт'!D34</f>
        <v>0</v>
      </c>
      <c r="E34" s="185">
        <f>'июль факт'!E34+'август  факт'!E34+'сентябрь  факт'!E34</f>
        <v>0</v>
      </c>
      <c r="F34" s="186">
        <f>'июль факт'!F34+'август  факт'!F34+'сентябрь  факт'!F34</f>
        <v>12.328</v>
      </c>
      <c r="G34" s="7"/>
      <c r="H34" s="40"/>
    </row>
    <row r="35" spans="1:8" s="4" customFormat="1" ht="25.5" customHeight="1">
      <c r="A35" s="86" t="s">
        <v>32</v>
      </c>
      <c r="B35" s="195">
        <f t="shared" si="1"/>
        <v>286.23400000000004</v>
      </c>
      <c r="C35" s="183">
        <f>C36+C37</f>
        <v>181.67700000000002</v>
      </c>
      <c r="D35" s="183"/>
      <c r="E35" s="183">
        <f>E36+E37</f>
        <v>104.55699999999999</v>
      </c>
      <c r="F35" s="231">
        <f>F36+F37</f>
        <v>0</v>
      </c>
      <c r="G35" s="7"/>
      <c r="H35" s="40"/>
    </row>
    <row r="36" spans="1:8" s="4" customFormat="1" ht="23.25" customHeight="1">
      <c r="A36" s="36" t="s">
        <v>18</v>
      </c>
      <c r="B36" s="195">
        <f t="shared" si="1"/>
        <v>249.89600000000002</v>
      </c>
      <c r="C36" s="177">
        <f>'июль факт'!C36+'август  факт'!C36+'сентябрь  факт'!C36</f>
        <v>181.67700000000002</v>
      </c>
      <c r="D36" s="177">
        <f>'июль факт'!D36+'август  факт'!D36+'сентябрь  факт'!D36</f>
        <v>0</v>
      </c>
      <c r="E36" s="177">
        <f>'июль факт'!E36+'август  факт'!E36+'сентябрь  факт'!E36</f>
        <v>68.219</v>
      </c>
      <c r="F36" s="178">
        <f>'июль факт'!F36+'август  факт'!F36+'сентябрь  факт'!F36</f>
        <v>0</v>
      </c>
      <c r="G36" s="7"/>
      <c r="H36" s="40"/>
    </row>
    <row r="37" spans="1:8" s="4" customFormat="1" ht="23.25" customHeight="1">
      <c r="A37" s="36" t="s">
        <v>15</v>
      </c>
      <c r="B37" s="195">
        <f t="shared" si="1"/>
        <v>36.337999999999994</v>
      </c>
      <c r="C37" s="177">
        <f>C38+C39</f>
        <v>0</v>
      </c>
      <c r="D37" s="183">
        <f>D38+D39</f>
        <v>0</v>
      </c>
      <c r="E37" s="183">
        <f>E38+E39</f>
        <v>36.337999999999994</v>
      </c>
      <c r="F37" s="231">
        <f>F38+F39</f>
        <v>0</v>
      </c>
      <c r="G37" s="7"/>
      <c r="H37" s="40"/>
    </row>
    <row r="38" spans="1:8" s="4" customFormat="1" ht="23.25" customHeight="1">
      <c r="A38" s="36" t="s">
        <v>16</v>
      </c>
      <c r="B38" s="195">
        <f t="shared" si="1"/>
        <v>0</v>
      </c>
      <c r="C38" s="185">
        <f>'июль факт'!C38+'август  факт'!C38+'сентябрь  факт'!C38</f>
        <v>0</v>
      </c>
      <c r="D38" s="185">
        <f>'июль факт'!D38+'август  факт'!D38+'сентябрь  факт'!D38</f>
        <v>0</v>
      </c>
      <c r="E38" s="185">
        <f>'июль факт'!E38+'август  факт'!E38+'сентябрь  факт'!E38</f>
        <v>0</v>
      </c>
      <c r="F38" s="186">
        <f>'июль факт'!F38+'август  факт'!F38+'сентябрь  факт'!F38</f>
        <v>0</v>
      </c>
      <c r="G38" s="7"/>
      <c r="H38" s="40"/>
    </row>
    <row r="39" spans="1:8" s="4" customFormat="1" ht="23.25" customHeight="1">
      <c r="A39" s="36" t="s">
        <v>17</v>
      </c>
      <c r="B39" s="195">
        <f t="shared" si="1"/>
        <v>36.337999999999994</v>
      </c>
      <c r="C39" s="185">
        <f>'июль факт'!C39+'август  факт'!C39+'сентябрь  факт'!C39</f>
        <v>0</v>
      </c>
      <c r="D39" s="185">
        <f>'июль факт'!D39+'август  факт'!D39+'сентябрь  факт'!D39</f>
        <v>0</v>
      </c>
      <c r="E39" s="185">
        <f>'июль факт'!E39+'август  факт'!E39+'сентябрь  факт'!E39</f>
        <v>36.337999999999994</v>
      </c>
      <c r="F39" s="186">
        <f>'июль факт'!F39+'август  факт'!F39+'сентябрь  факт'!F39</f>
        <v>0</v>
      </c>
      <c r="G39" s="7"/>
      <c r="H39" s="40"/>
    </row>
    <row r="40" spans="1:9" s="4" customFormat="1" ht="42" customHeight="1">
      <c r="A40" s="86" t="s">
        <v>33</v>
      </c>
      <c r="B40" s="195">
        <f t="shared" si="1"/>
        <v>95.926</v>
      </c>
      <c r="C40" s="183">
        <f>C41+C42</f>
        <v>2.61</v>
      </c>
      <c r="D40" s="183">
        <f>D41+D42</f>
        <v>0</v>
      </c>
      <c r="E40" s="183">
        <f>E41+E42</f>
        <v>93.316</v>
      </c>
      <c r="F40" s="231">
        <f>F41+F42</f>
        <v>0</v>
      </c>
      <c r="G40" s="7"/>
      <c r="H40" s="73"/>
      <c r="I40" s="7"/>
    </row>
    <row r="41" spans="1:8" s="4" customFormat="1" ht="19.5" customHeight="1">
      <c r="A41" s="36" t="s">
        <v>18</v>
      </c>
      <c r="B41" s="195">
        <f t="shared" si="1"/>
        <v>95.926</v>
      </c>
      <c r="C41" s="177">
        <f>'июль факт'!C41+'август  факт'!C41+'сентябрь  факт'!C41</f>
        <v>2.61</v>
      </c>
      <c r="D41" s="177">
        <f>'июль факт'!D41+'август  факт'!D41+'сентябрь  факт'!D41</f>
        <v>0</v>
      </c>
      <c r="E41" s="177">
        <f>'июль факт'!E41+'август  факт'!E41+'сентябрь  факт'!E41</f>
        <v>93.316</v>
      </c>
      <c r="F41" s="178">
        <f>'июль факт'!F41+'август  факт'!F41+'сентябрь  факт'!F41</f>
        <v>0</v>
      </c>
      <c r="G41" s="7"/>
      <c r="H41" s="73"/>
    </row>
    <row r="42" spans="1:8" s="4" customFormat="1" ht="19.5" customHeight="1">
      <c r="A42" s="36" t="s">
        <v>15</v>
      </c>
      <c r="B42" s="195">
        <f t="shared" si="1"/>
        <v>0</v>
      </c>
      <c r="C42" s="177">
        <f>C43+C44</f>
        <v>0</v>
      </c>
      <c r="D42" s="183">
        <f>D43+D44</f>
        <v>0</v>
      </c>
      <c r="E42" s="183">
        <f>E43+E44</f>
        <v>0</v>
      </c>
      <c r="F42" s="231">
        <f>F43+F44</f>
        <v>0</v>
      </c>
      <c r="G42" s="7"/>
      <c r="H42" s="73"/>
    </row>
    <row r="43" spans="1:8" s="4" customFormat="1" ht="19.5" customHeight="1">
      <c r="A43" s="36" t="s">
        <v>16</v>
      </c>
      <c r="B43" s="195">
        <f t="shared" si="1"/>
        <v>0</v>
      </c>
      <c r="C43" s="185">
        <f>'июль факт'!C43+'август  факт'!C43+'сентябрь  факт'!C43</f>
        <v>0</v>
      </c>
      <c r="D43" s="185">
        <f>'июль факт'!D43+'август  факт'!D43+'сентябрь  факт'!D43</f>
        <v>0</v>
      </c>
      <c r="E43" s="185">
        <f>'июль факт'!E43+'август  факт'!E43+'сентябрь  факт'!E43</f>
        <v>0</v>
      </c>
      <c r="F43" s="186">
        <f>'июль факт'!F43+'август  факт'!F43+'сентябрь  факт'!F43</f>
        <v>0</v>
      </c>
      <c r="G43" s="7"/>
      <c r="H43" s="73"/>
    </row>
    <row r="44" spans="1:8" s="4" customFormat="1" ht="19.5" customHeight="1">
      <c r="A44" s="36" t="s">
        <v>17</v>
      </c>
      <c r="B44" s="195">
        <f t="shared" si="1"/>
        <v>0</v>
      </c>
      <c r="C44" s="185">
        <f>'июль факт'!C44+'август  факт'!C44+'сентябрь  факт'!C44</f>
        <v>0</v>
      </c>
      <c r="D44" s="185">
        <f>'июль факт'!D44+'август  факт'!D44+'сентябрь  факт'!D44</f>
        <v>0</v>
      </c>
      <c r="E44" s="185">
        <f>'июль факт'!E44+'август  факт'!E44+'сентябрь  факт'!E44</f>
        <v>0</v>
      </c>
      <c r="F44" s="186">
        <f>'июль факт'!F44+'август  факт'!F44+'сентябрь  факт'!F44</f>
        <v>0</v>
      </c>
      <c r="G44" s="7"/>
      <c r="H44" s="73"/>
    </row>
    <row r="45" spans="1:8" s="4" customFormat="1" ht="24.75" customHeight="1">
      <c r="A45" s="86" t="s">
        <v>10</v>
      </c>
      <c r="B45" s="195">
        <f t="shared" si="1"/>
        <v>2547.729</v>
      </c>
      <c r="C45" s="183">
        <f>C46+C47</f>
        <v>0</v>
      </c>
      <c r="D45" s="177"/>
      <c r="E45" s="183">
        <f>E46+E47</f>
        <v>1123.1689999999999</v>
      </c>
      <c r="F45" s="231">
        <f>F46+F47</f>
        <v>1424.56</v>
      </c>
      <c r="G45" s="13"/>
      <c r="H45" s="73"/>
    </row>
    <row r="46" spans="1:8" s="4" customFormat="1" ht="24.75" customHeight="1">
      <c r="A46" s="36" t="s">
        <v>18</v>
      </c>
      <c r="B46" s="195">
        <f t="shared" si="1"/>
        <v>1324.059</v>
      </c>
      <c r="C46" s="177">
        <f>'июль факт'!C46+'август  факт'!C46+'сентябрь  факт'!C46</f>
        <v>0</v>
      </c>
      <c r="D46" s="177">
        <f>'июль факт'!D46+'август  факт'!D46+'сентябрь  факт'!D46</f>
        <v>0</v>
      </c>
      <c r="E46" s="177">
        <f>'июль факт'!E46+'август  факт'!E46+'сентябрь  факт'!E46</f>
        <v>1060.905</v>
      </c>
      <c r="F46" s="178">
        <f>'июль факт'!F46+'август  факт'!F46+'сентябрь  факт'!F46</f>
        <v>263.154</v>
      </c>
      <c r="G46" s="13"/>
      <c r="H46" s="73"/>
    </row>
    <row r="47" spans="1:8" s="4" customFormat="1" ht="24.75" customHeight="1">
      <c r="A47" s="36" t="s">
        <v>15</v>
      </c>
      <c r="B47" s="195">
        <f t="shared" si="1"/>
        <v>1223.6699999999998</v>
      </c>
      <c r="C47" s="177">
        <f>C48+C49</f>
        <v>0</v>
      </c>
      <c r="D47" s="183">
        <f>D48+D49</f>
        <v>0</v>
      </c>
      <c r="E47" s="183">
        <f>E48+E49</f>
        <v>62.263999999999996</v>
      </c>
      <c r="F47" s="231">
        <f>F48+F49</f>
        <v>1161.406</v>
      </c>
      <c r="G47" s="13"/>
      <c r="H47" s="73"/>
    </row>
    <row r="48" spans="1:8" s="4" customFormat="1" ht="24.75" customHeight="1">
      <c r="A48" s="36" t="s">
        <v>16</v>
      </c>
      <c r="B48" s="195">
        <f t="shared" si="1"/>
        <v>966.446</v>
      </c>
      <c r="C48" s="185">
        <f>'июль факт'!C48+'август  факт'!C48+'сентябрь  факт'!C48</f>
        <v>0</v>
      </c>
      <c r="D48" s="185">
        <f>'июль факт'!D48+'август  факт'!D48+'сентябрь  факт'!D48</f>
        <v>0</v>
      </c>
      <c r="E48" s="185">
        <f>'июль факт'!E48+'август  факт'!E48+'сентябрь  факт'!E48</f>
        <v>59.266</v>
      </c>
      <c r="F48" s="186">
        <f>'июль факт'!F48+'август  факт'!F48+'сентябрь  факт'!F48</f>
        <v>907.1800000000001</v>
      </c>
      <c r="G48" s="13"/>
      <c r="H48" s="73"/>
    </row>
    <row r="49" spans="1:8" s="4" customFormat="1" ht="24.75" customHeight="1">
      <c r="A49" s="36" t="s">
        <v>17</v>
      </c>
      <c r="B49" s="195">
        <f t="shared" si="1"/>
        <v>257.224</v>
      </c>
      <c r="C49" s="185">
        <f>'июль факт'!C49+'август  факт'!C49+'сентябрь  факт'!C49</f>
        <v>0</v>
      </c>
      <c r="D49" s="185">
        <f>'июль факт'!D49+'август  факт'!D49+'сентябрь  факт'!D49</f>
        <v>0</v>
      </c>
      <c r="E49" s="185">
        <f>'июль факт'!E49+'август  факт'!E49+'сентябрь  факт'!E49</f>
        <v>2.9979999999999998</v>
      </c>
      <c r="F49" s="186">
        <f>'июль факт'!F49+'август  факт'!F49+'сентябрь  факт'!F49</f>
        <v>254.226</v>
      </c>
      <c r="G49" s="13"/>
      <c r="H49" s="73"/>
    </row>
    <row r="50" spans="1:8" s="4" customFormat="1" ht="24.75" customHeight="1">
      <c r="A50" s="86" t="s">
        <v>5</v>
      </c>
      <c r="B50" s="195">
        <f t="shared" si="1"/>
        <v>6877.885</v>
      </c>
      <c r="C50" s="183">
        <f>C51+C52</f>
        <v>1040</v>
      </c>
      <c r="D50" s="177"/>
      <c r="E50" s="183">
        <f>E51+E52</f>
        <v>3602.423</v>
      </c>
      <c r="F50" s="231">
        <f>F51+F52</f>
        <v>2235.462</v>
      </c>
      <c r="G50" s="13"/>
      <c r="H50" s="73"/>
    </row>
    <row r="51" spans="1:8" s="4" customFormat="1" ht="24.75" customHeight="1">
      <c r="A51" s="36" t="s">
        <v>18</v>
      </c>
      <c r="B51" s="195">
        <f t="shared" si="1"/>
        <v>4135.977</v>
      </c>
      <c r="C51" s="177">
        <f>'июль факт'!C51+'август  факт'!C51+'сентябрь  факт'!C51</f>
        <v>1040</v>
      </c>
      <c r="D51" s="177">
        <f>'июль факт'!D51+'август  факт'!D51+'сентябрь  факт'!D51</f>
        <v>0</v>
      </c>
      <c r="E51" s="177">
        <f>'июль факт'!E51+'август  факт'!E51+'сентябрь  факт'!E51</f>
        <v>2220.152</v>
      </c>
      <c r="F51" s="178">
        <f>'июль факт'!F51+'август  факт'!F51+'сентябрь  факт'!F51</f>
        <v>875.825</v>
      </c>
      <c r="G51" s="13"/>
      <c r="H51" s="73"/>
    </row>
    <row r="52" spans="1:8" s="4" customFormat="1" ht="24.75" customHeight="1">
      <c r="A52" s="36" t="s">
        <v>15</v>
      </c>
      <c r="B52" s="195">
        <f t="shared" si="1"/>
        <v>2741.908</v>
      </c>
      <c r="C52" s="177">
        <f>C53+C54</f>
        <v>0</v>
      </c>
      <c r="D52" s="183">
        <f>D53+D54</f>
        <v>0</v>
      </c>
      <c r="E52" s="183">
        <f>E53+E54</f>
        <v>1382.271</v>
      </c>
      <c r="F52" s="231">
        <f>F53+F54</f>
        <v>1359.637</v>
      </c>
      <c r="G52" s="13"/>
      <c r="H52" s="73"/>
    </row>
    <row r="53" spans="1:8" s="4" customFormat="1" ht="24.75" customHeight="1">
      <c r="A53" s="36" t="s">
        <v>16</v>
      </c>
      <c r="B53" s="195">
        <f t="shared" si="1"/>
        <v>2732.068</v>
      </c>
      <c r="C53" s="185">
        <f>'июль факт'!C53+'август  факт'!C53+'сентябрь  факт'!C53</f>
        <v>0</v>
      </c>
      <c r="D53" s="185">
        <f>'июль факт'!D53+'август  факт'!D53+'сентябрь  факт'!D53</f>
        <v>0</v>
      </c>
      <c r="E53" s="185">
        <f>'июль факт'!E53+'август  факт'!E53+'сентябрь  факт'!E53</f>
        <v>1372.431</v>
      </c>
      <c r="F53" s="186">
        <f>'июль факт'!F53+'август  факт'!F53+'сентябрь  факт'!F53</f>
        <v>1359.637</v>
      </c>
      <c r="G53" s="13"/>
      <c r="H53" s="73"/>
    </row>
    <row r="54" spans="1:8" s="4" customFormat="1" ht="24.75" customHeight="1">
      <c r="A54" s="36" t="s">
        <v>17</v>
      </c>
      <c r="B54" s="195">
        <f t="shared" si="1"/>
        <v>9.84</v>
      </c>
      <c r="C54" s="185">
        <f>'июль факт'!C54+'август  факт'!C54+'сентябрь  факт'!C54</f>
        <v>0</v>
      </c>
      <c r="D54" s="185">
        <f>'июль факт'!D54+'август  факт'!D54+'сентябрь  факт'!D54</f>
        <v>0</v>
      </c>
      <c r="E54" s="185">
        <f>'июль факт'!E54+'август  факт'!E54+'сентябрь  факт'!E54</f>
        <v>9.84</v>
      </c>
      <c r="F54" s="186">
        <f>'июль факт'!F54+'август  факт'!F54+'сентябрь  факт'!F54</f>
        <v>0</v>
      </c>
      <c r="G54" s="13"/>
      <c r="H54" s="73"/>
    </row>
    <row r="55" spans="1:8" s="4" customFormat="1" ht="50.25" customHeight="1">
      <c r="A55" s="86" t="s">
        <v>11</v>
      </c>
      <c r="B55" s="195">
        <f t="shared" si="1"/>
        <v>15361.847999999998</v>
      </c>
      <c r="C55" s="183">
        <f>C56+C57</f>
        <v>0</v>
      </c>
      <c r="D55" s="183">
        <f>D56+D57</f>
        <v>0</v>
      </c>
      <c r="E55" s="183">
        <f>E56+E57</f>
        <v>3435.781</v>
      </c>
      <c r="F55" s="231">
        <f>F56+F57</f>
        <v>11926.067</v>
      </c>
      <c r="G55" s="13"/>
      <c r="H55" s="73"/>
    </row>
    <row r="56" spans="1:8" s="4" customFormat="1" ht="26.25" customHeight="1">
      <c r="A56" s="36" t="s">
        <v>18</v>
      </c>
      <c r="B56" s="195">
        <f t="shared" si="1"/>
        <v>7373.789</v>
      </c>
      <c r="C56" s="177">
        <f>'июль факт'!C56+'август  факт'!C56+'сентябрь  факт'!C56</f>
        <v>0</v>
      </c>
      <c r="D56" s="177">
        <f>'июль факт'!D56+'август  факт'!D56+'сентябрь  факт'!D56</f>
        <v>0</v>
      </c>
      <c r="E56" s="177">
        <f>'июль факт'!E56+'август  факт'!E56+'сентябрь  факт'!E56</f>
        <v>3235.406</v>
      </c>
      <c r="F56" s="178">
        <f>'июль факт'!F56+'август  факт'!F56+'сентябрь  факт'!F56</f>
        <v>4138.383</v>
      </c>
      <c r="G56" s="13"/>
      <c r="H56" s="73"/>
    </row>
    <row r="57" spans="1:8" s="4" customFormat="1" ht="26.25" customHeight="1">
      <c r="A57" s="36" t="s">
        <v>15</v>
      </c>
      <c r="B57" s="195">
        <f t="shared" si="1"/>
        <v>7988.059</v>
      </c>
      <c r="C57" s="177">
        <f>C58+C59</f>
        <v>0</v>
      </c>
      <c r="D57" s="183">
        <f>D58+D59</f>
        <v>0</v>
      </c>
      <c r="E57" s="183">
        <f>E58+E59</f>
        <v>200.37499999999997</v>
      </c>
      <c r="F57" s="231">
        <f>F58+F59</f>
        <v>7787.684</v>
      </c>
      <c r="G57" s="13"/>
      <c r="H57" s="73"/>
    </row>
    <row r="58" spans="1:8" s="4" customFormat="1" ht="26.25" customHeight="1">
      <c r="A58" s="36" t="s">
        <v>16</v>
      </c>
      <c r="B58" s="195">
        <f t="shared" si="1"/>
        <v>1964.746</v>
      </c>
      <c r="C58" s="185">
        <f>'июль факт'!C58+'август  факт'!C58+'сентябрь  факт'!C58</f>
        <v>0</v>
      </c>
      <c r="D58" s="185">
        <f>'июль факт'!D58+'август  факт'!D58+'сентябрь  факт'!D58</f>
        <v>0</v>
      </c>
      <c r="E58" s="185">
        <f>'июль факт'!E58+'август  факт'!E58+'сентябрь  факт'!E58</f>
        <v>57.93899999999999</v>
      </c>
      <c r="F58" s="186">
        <f>'июль факт'!F58+'август  факт'!F58+'сентябрь  факт'!F58</f>
        <v>1906.807</v>
      </c>
      <c r="G58" s="13"/>
      <c r="H58" s="73"/>
    </row>
    <row r="59" spans="1:8" s="4" customFormat="1" ht="26.25" customHeight="1">
      <c r="A59" s="36" t="s">
        <v>17</v>
      </c>
      <c r="B59" s="195">
        <f t="shared" si="1"/>
        <v>6023.313</v>
      </c>
      <c r="C59" s="185">
        <f>'июль факт'!C59+'август  факт'!C59+'сентябрь  факт'!C59</f>
        <v>0</v>
      </c>
      <c r="D59" s="185">
        <f>'июль факт'!D59+'август  факт'!D59+'сентябрь  факт'!D59</f>
        <v>0</v>
      </c>
      <c r="E59" s="185">
        <f>'июль факт'!E59+'август  факт'!E59+'сентябрь  факт'!E59</f>
        <v>142.43599999999998</v>
      </c>
      <c r="F59" s="186">
        <f>'июль факт'!F59+'август  факт'!F59+'сентябрь  факт'!F59</f>
        <v>5880.877</v>
      </c>
      <c r="G59" s="13"/>
      <c r="H59" s="73"/>
    </row>
    <row r="60" spans="1:8" s="4" customFormat="1" ht="24.75" customHeight="1">
      <c r="A60" s="87" t="s">
        <v>39</v>
      </c>
      <c r="B60" s="195">
        <f t="shared" si="1"/>
        <v>440.44300000000004</v>
      </c>
      <c r="C60" s="185"/>
      <c r="D60" s="177"/>
      <c r="E60" s="183">
        <f>E61+E62</f>
        <v>218.16000000000003</v>
      </c>
      <c r="F60" s="231">
        <f>F61+F62</f>
        <v>222.28300000000002</v>
      </c>
      <c r="G60" s="7"/>
      <c r="H60" s="73"/>
    </row>
    <row r="61" spans="1:8" s="4" customFormat="1" ht="21.75" customHeight="1">
      <c r="A61" s="36" t="s">
        <v>18</v>
      </c>
      <c r="B61" s="195">
        <f aca="true" t="shared" si="2" ref="B61:B78">C61+D61+E61+F61</f>
        <v>440.44300000000004</v>
      </c>
      <c r="C61" s="177">
        <f>'июль факт'!C61+'август  факт'!C61+'сентябрь  факт'!C61</f>
        <v>0</v>
      </c>
      <c r="D61" s="177">
        <f>'июль факт'!D61+'август  факт'!D61+'сентябрь  факт'!D61</f>
        <v>0</v>
      </c>
      <c r="E61" s="177">
        <f>'июль факт'!E61+'август  факт'!E61+'сентябрь  факт'!E61</f>
        <v>218.16000000000003</v>
      </c>
      <c r="F61" s="178">
        <f>'июль факт'!F61+'август  факт'!F61+'сентябрь  факт'!F61</f>
        <v>222.28300000000002</v>
      </c>
      <c r="G61" s="7"/>
      <c r="H61" s="68"/>
    </row>
    <row r="62" spans="1:8" s="4" customFormat="1" ht="16.5" customHeight="1">
      <c r="A62" s="36" t="s">
        <v>15</v>
      </c>
      <c r="B62" s="195">
        <f t="shared" si="2"/>
        <v>0</v>
      </c>
      <c r="C62" s="177">
        <f>C63+C64</f>
        <v>0</v>
      </c>
      <c r="D62" s="183">
        <f>D63+D64</f>
        <v>0</v>
      </c>
      <c r="E62" s="183">
        <f>E63+E64</f>
        <v>0</v>
      </c>
      <c r="F62" s="231">
        <f>F63+F64</f>
        <v>0</v>
      </c>
      <c r="G62" s="7"/>
      <c r="H62" s="68"/>
    </row>
    <row r="63" spans="1:8" s="4" customFormat="1" ht="18" customHeight="1">
      <c r="A63" s="36" t="s">
        <v>16</v>
      </c>
      <c r="B63" s="195">
        <f t="shared" si="2"/>
        <v>0</v>
      </c>
      <c r="C63" s="185">
        <f>'июль факт'!C63+'август  факт'!C63+'сентябрь  факт'!C63</f>
        <v>0</v>
      </c>
      <c r="D63" s="185">
        <f>'июль факт'!D63+'август  факт'!D63+'сентябрь  факт'!D63</f>
        <v>0</v>
      </c>
      <c r="E63" s="185">
        <f>'июль факт'!E63+'август  факт'!E63+'сентябрь  факт'!E63</f>
        <v>0</v>
      </c>
      <c r="F63" s="186">
        <f>'июль факт'!F63+'август  факт'!F63+'сентябрь  факт'!F63</f>
        <v>0</v>
      </c>
      <c r="G63" s="7"/>
      <c r="H63" s="68"/>
    </row>
    <row r="64" spans="1:8" s="4" customFormat="1" ht="18" customHeight="1">
      <c r="A64" s="36" t="s">
        <v>17</v>
      </c>
      <c r="B64" s="195">
        <f t="shared" si="2"/>
        <v>0</v>
      </c>
      <c r="C64" s="185">
        <f>'июль факт'!C64+'август  факт'!C64+'сентябрь  факт'!C64</f>
        <v>0</v>
      </c>
      <c r="D64" s="185">
        <f>'июль факт'!D64+'август  факт'!D64+'сентябрь  факт'!D64</f>
        <v>0</v>
      </c>
      <c r="E64" s="185">
        <f>'июль факт'!E64+'август  факт'!E64+'сентябрь  факт'!E64</f>
        <v>0</v>
      </c>
      <c r="F64" s="186">
        <f>'июль факт'!F64+'август  факт'!F64+'сентябрь  факт'!F64</f>
        <v>0</v>
      </c>
      <c r="G64" s="7"/>
      <c r="H64" s="68"/>
    </row>
    <row r="65" spans="1:8" s="4" customFormat="1" ht="24.75" customHeight="1">
      <c r="A65" s="87" t="s">
        <v>4</v>
      </c>
      <c r="B65" s="195">
        <f t="shared" si="2"/>
        <v>2243.083</v>
      </c>
      <c r="C65" s="183">
        <f>C66+C67</f>
        <v>2243.083</v>
      </c>
      <c r="D65" s="183">
        <f>D66+D67</f>
        <v>0</v>
      </c>
      <c r="E65" s="183">
        <f>E66+E67</f>
        <v>0</v>
      </c>
      <c r="F65" s="231">
        <f>F66+F67</f>
        <v>0</v>
      </c>
      <c r="G65" s="7"/>
      <c r="H65" s="68"/>
    </row>
    <row r="66" spans="1:8" s="4" customFormat="1" ht="21.75" customHeight="1">
      <c r="A66" s="36" t="s">
        <v>18</v>
      </c>
      <c r="B66" s="195">
        <f t="shared" si="2"/>
        <v>2243.083</v>
      </c>
      <c r="C66" s="177">
        <f>'июль факт'!C66+'август  факт'!C66+'сентябрь  факт'!C66</f>
        <v>2243.083</v>
      </c>
      <c r="D66" s="177">
        <f>'июль факт'!D66+'август  факт'!D66+'сентябрь  факт'!D66</f>
        <v>0</v>
      </c>
      <c r="E66" s="177">
        <f>'июль факт'!E66+'август  факт'!E66+'сентябрь  факт'!E66</f>
        <v>0</v>
      </c>
      <c r="F66" s="178">
        <f>'июль факт'!F66+'август  факт'!F66+'сентябрь  факт'!F66</f>
        <v>0</v>
      </c>
      <c r="G66" s="7"/>
      <c r="H66" s="68"/>
    </row>
    <row r="67" spans="1:8" s="4" customFormat="1" ht="18" customHeight="1">
      <c r="A67" s="36" t="s">
        <v>15</v>
      </c>
      <c r="B67" s="195">
        <f t="shared" si="2"/>
        <v>0</v>
      </c>
      <c r="C67" s="177">
        <f>C68+C69</f>
        <v>0</v>
      </c>
      <c r="D67" s="183">
        <f>D68+D69</f>
        <v>0</v>
      </c>
      <c r="E67" s="183">
        <f>E68+E69</f>
        <v>0</v>
      </c>
      <c r="F67" s="231">
        <f>F68+F69</f>
        <v>0</v>
      </c>
      <c r="G67" s="7"/>
      <c r="H67" s="68"/>
    </row>
    <row r="68" spans="1:8" s="4" customFormat="1" ht="19.5" customHeight="1">
      <c r="A68" s="36" t="s">
        <v>16</v>
      </c>
      <c r="B68" s="195">
        <f t="shared" si="2"/>
        <v>0</v>
      </c>
      <c r="C68" s="185">
        <f>'июль факт'!C68+'август  факт'!C68+'сентябрь  факт'!C68</f>
        <v>0</v>
      </c>
      <c r="D68" s="185">
        <f>'июль факт'!D68+'август  факт'!D68+'сентябрь  факт'!D68</f>
        <v>0</v>
      </c>
      <c r="E68" s="185">
        <f>'июль факт'!E68+'август  факт'!E68+'сентябрь  факт'!E68</f>
        <v>0</v>
      </c>
      <c r="F68" s="186">
        <f>'июль факт'!F68+'август  факт'!F68+'сентябрь  факт'!F68</f>
        <v>0</v>
      </c>
      <c r="G68" s="7"/>
      <c r="H68" s="68"/>
    </row>
    <row r="69" spans="1:8" s="4" customFormat="1" ht="19.5" customHeight="1" thickBot="1">
      <c r="A69" s="37" t="s">
        <v>17</v>
      </c>
      <c r="B69" s="232">
        <f t="shared" si="2"/>
        <v>0</v>
      </c>
      <c r="C69" s="233">
        <f>'июль факт'!C69+'август  факт'!C69+'сентябрь  факт'!C69</f>
        <v>0</v>
      </c>
      <c r="D69" s="233">
        <f>'июль факт'!D69+'август  факт'!D69+'сентябрь  факт'!D69</f>
        <v>0</v>
      </c>
      <c r="E69" s="233">
        <f>'июль факт'!E69+'август  факт'!E69+'сентябрь  факт'!E69</f>
        <v>0</v>
      </c>
      <c r="F69" s="234">
        <f>'июль факт'!F69+'август  факт'!F69+'сентябрь  факт'!F69</f>
        <v>0</v>
      </c>
      <c r="G69" s="7"/>
      <c r="H69" s="68"/>
    </row>
    <row r="70" spans="1:8" s="7" customFormat="1" ht="25.5" customHeight="1">
      <c r="A70" s="140" t="s">
        <v>26</v>
      </c>
      <c r="B70" s="191">
        <f t="shared" si="2"/>
        <v>614.989</v>
      </c>
      <c r="C70" s="235">
        <f>'июль факт'!C70+'август  факт'!C70+'сентябрь  факт'!C70</f>
        <v>0</v>
      </c>
      <c r="D70" s="235">
        <f>'июль факт'!D70+'август  факт'!D70+'сентябрь  факт'!D70</f>
        <v>0</v>
      </c>
      <c r="E70" s="235">
        <f>'июль факт'!E70+'август  факт'!E70+'сентябрь  факт'!E70</f>
        <v>614.989</v>
      </c>
      <c r="F70" s="236">
        <f>'июль факт'!F70+'август  факт'!F70+'сентябрь  факт'!F70</f>
        <v>0</v>
      </c>
      <c r="H70" s="40"/>
    </row>
    <row r="71" spans="1:6" ht="18">
      <c r="A71" s="54" t="s">
        <v>27</v>
      </c>
      <c r="B71" s="195">
        <f t="shared" si="2"/>
        <v>136.927</v>
      </c>
      <c r="C71" s="185">
        <f>'июль факт'!C71+'август  факт'!C71+'сентябрь  факт'!C71</f>
        <v>0</v>
      </c>
      <c r="D71" s="185">
        <f>'июль факт'!D71+'август  факт'!D71+'сентябрь  факт'!D71</f>
        <v>0</v>
      </c>
      <c r="E71" s="185">
        <f>'июль факт'!E71+'август  факт'!E71+'сентябрь  факт'!E71</f>
        <v>136.927</v>
      </c>
      <c r="F71" s="186">
        <f>'июль факт'!F71+'август  факт'!F71+'сентябрь  факт'!F71</f>
        <v>0</v>
      </c>
    </row>
    <row r="72" spans="1:6" ht="18">
      <c r="A72" s="54" t="s">
        <v>34</v>
      </c>
      <c r="B72" s="195">
        <f t="shared" si="2"/>
        <v>1844.569</v>
      </c>
      <c r="C72" s="185">
        <f>'июль факт'!C72+'август  факт'!C72+'сентябрь  факт'!C72</f>
        <v>0</v>
      </c>
      <c r="D72" s="185">
        <f>'июль факт'!D72+'август  факт'!D72+'сентябрь  факт'!D72</f>
        <v>0</v>
      </c>
      <c r="E72" s="185">
        <f>'июль факт'!E72+'август  факт'!E72+'сентябрь  факт'!E72</f>
        <v>1631.103</v>
      </c>
      <c r="F72" s="186">
        <f>'июль факт'!F72+'август  факт'!F72+'сентябрь  факт'!F72</f>
        <v>213.466</v>
      </c>
    </row>
    <row r="73" spans="1:8" s="161" customFormat="1" ht="23.25" customHeight="1">
      <c r="A73" s="62" t="s">
        <v>35</v>
      </c>
      <c r="B73" s="195">
        <f t="shared" si="2"/>
        <v>5033.48</v>
      </c>
      <c r="C73" s="185">
        <f>'июль факт'!C73+'август  факт'!C73+'сентябрь  факт'!C73</f>
        <v>5006.48</v>
      </c>
      <c r="D73" s="185">
        <f>'июль факт'!D73+'август  факт'!D73+'сентябрь  факт'!D73</f>
        <v>0</v>
      </c>
      <c r="E73" s="185">
        <f>'июль факт'!E73+'август  факт'!E73+'сентябрь  факт'!E73</f>
        <v>0</v>
      </c>
      <c r="F73" s="186">
        <f>'июль факт'!F73+'август  факт'!F73+'сентябрь  факт'!F73</f>
        <v>27</v>
      </c>
      <c r="G73" s="7"/>
      <c r="H73" s="158"/>
    </row>
    <row r="74" spans="1:8" s="161" customFormat="1" ht="23.25" customHeight="1">
      <c r="A74" s="54" t="s">
        <v>28</v>
      </c>
      <c r="B74" s="195">
        <f t="shared" si="2"/>
        <v>2192.352</v>
      </c>
      <c r="C74" s="185">
        <f>'июль факт'!C74+'август  факт'!C74+'сентябрь  факт'!C74</f>
        <v>1535.112</v>
      </c>
      <c r="D74" s="185">
        <f>'июль факт'!D74+'август  факт'!D74+'сентябрь  факт'!D74</f>
        <v>0</v>
      </c>
      <c r="E74" s="185">
        <f>'июль факт'!E74+'август  факт'!E74+'сентябрь  факт'!E74</f>
        <v>482.106</v>
      </c>
      <c r="F74" s="186">
        <f>'июль факт'!F74+'август  факт'!F74+'сентябрь  факт'!F74</f>
        <v>175.13400000000001</v>
      </c>
      <c r="G74" s="7"/>
      <c r="H74" s="159"/>
    </row>
    <row r="75" spans="1:8" s="161" customFormat="1" ht="23.25" customHeight="1">
      <c r="A75" s="62" t="s">
        <v>29</v>
      </c>
      <c r="B75" s="201">
        <f t="shared" si="2"/>
        <v>1182.312</v>
      </c>
      <c r="C75" s="185">
        <f>'июль факт'!C75+'август  факт'!C75+'сентябрь  факт'!C75</f>
        <v>0</v>
      </c>
      <c r="D75" s="185">
        <f>'июль факт'!D75+'август  факт'!D75+'сентябрь  факт'!D75</f>
        <v>0</v>
      </c>
      <c r="E75" s="185">
        <f>'июль факт'!E75+'август  факт'!E75+'сентябрь  факт'!E75</f>
        <v>1182.312</v>
      </c>
      <c r="F75" s="186">
        <f>'июль факт'!F75+'август  факт'!F75+'сентябрь  факт'!F75</f>
        <v>0</v>
      </c>
      <c r="G75" s="7"/>
      <c r="H75" s="160"/>
    </row>
    <row r="76" spans="1:8" s="161" customFormat="1" ht="43.5" customHeight="1">
      <c r="A76" s="105" t="s">
        <v>30</v>
      </c>
      <c r="B76" s="201">
        <f t="shared" si="2"/>
        <v>155.565</v>
      </c>
      <c r="C76" s="185">
        <f>'июль факт'!C76+'август  факт'!C76+'сентябрь  факт'!C76</f>
        <v>0</v>
      </c>
      <c r="D76" s="185">
        <f>'июль факт'!D76+'август  факт'!D76+'сентябрь  факт'!D76</f>
        <v>0</v>
      </c>
      <c r="E76" s="185">
        <f>'июль факт'!E76+'август  факт'!E76+'сентябрь  факт'!E76</f>
        <v>0</v>
      </c>
      <c r="F76" s="186">
        <f>'июль факт'!F76+'август  факт'!F76+'сентябрь  факт'!F76</f>
        <v>155.565</v>
      </c>
      <c r="G76" s="98"/>
      <c r="H76" s="160"/>
    </row>
    <row r="77" spans="1:8" s="161" customFormat="1" ht="23.25" customHeight="1" thickBot="1">
      <c r="A77" s="106" t="s">
        <v>31</v>
      </c>
      <c r="B77" s="202">
        <f t="shared" si="2"/>
        <v>669.828</v>
      </c>
      <c r="C77" s="185">
        <f>'июль факт'!C77+'август  факт'!C77+'сентябрь  факт'!C77</f>
        <v>0</v>
      </c>
      <c r="D77" s="185">
        <f>'июль факт'!D77+'август  факт'!D77+'сентябрь  факт'!D77</f>
        <v>0</v>
      </c>
      <c r="E77" s="185">
        <f>'июль факт'!E77+'август  факт'!E77+'сентябрь  факт'!E77</f>
        <v>23.689</v>
      </c>
      <c r="F77" s="186">
        <f>'июль факт'!F77+'август  факт'!F77+'сентябрь  факт'!F77</f>
        <v>646.139</v>
      </c>
      <c r="G77" s="7"/>
      <c r="H77" s="68"/>
    </row>
    <row r="78" spans="1:8" s="161" customFormat="1" ht="23.25" customHeight="1" thickBot="1">
      <c r="A78" s="110" t="s">
        <v>40</v>
      </c>
      <c r="B78" s="88">
        <f t="shared" si="2"/>
        <v>318733.641</v>
      </c>
      <c r="C78" s="89">
        <f>C5+C10+C15+C20+C25+C30+C35+C40+C45+C50+C55+C60+C65+C70+C71+C72+C73+C74+C75+C76+C77</f>
        <v>139649.51200000002</v>
      </c>
      <c r="D78" s="89">
        <f>D5+D10+D15+D20+D25+D30+D35+D40+D45+D50+D55+D60+D65+D70+D71+D72+D73+D74+D75+D76+D77</f>
        <v>3742.8880000000004</v>
      </c>
      <c r="E78" s="89">
        <f>E5+E10+E15+E20+E25+E30+E35+E40+E45+E50+E55+E60+E65+E70+E71+E72+E73+E74+E75+E76+E77</f>
        <v>77286.273</v>
      </c>
      <c r="F78" s="89">
        <f>F5+F10+F15+F20+F25+F30+F35+F40+F45+F50+F55+F60+F65+F70+F71+F72+F73+F74+F75+F76+F77</f>
        <v>98054.968</v>
      </c>
      <c r="G78" s="101"/>
      <c r="H78" s="68"/>
    </row>
    <row r="79" spans="1:8" s="161" customFormat="1" ht="23.25" customHeight="1">
      <c r="A79"/>
      <c r="B79"/>
      <c r="C79"/>
      <c r="D79"/>
      <c r="E79"/>
      <c r="F79"/>
      <c r="G79" s="7"/>
      <c r="H79" s="68"/>
    </row>
    <row r="80" spans="1:8" s="161" customFormat="1" ht="23.25" customHeight="1">
      <c r="A80"/>
      <c r="B80"/>
      <c r="C80"/>
      <c r="D80"/>
      <c r="E80"/>
      <c r="F80"/>
      <c r="G80" s="7"/>
      <c r="H80" s="68"/>
    </row>
    <row r="81" spans="1:8" s="161" customFormat="1" ht="33" customHeight="1">
      <c r="A81"/>
      <c r="B81"/>
      <c r="C81"/>
      <c r="D81"/>
      <c r="E81"/>
      <c r="F81"/>
      <c r="G81" s="7"/>
      <c r="H81" s="40"/>
    </row>
    <row r="82" spans="1:6" s="161" customFormat="1" ht="38.25" customHeight="1">
      <c r="A82"/>
      <c r="B82"/>
      <c r="C82"/>
      <c r="D82"/>
      <c r="E82"/>
      <c r="F82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zoomScale="60" zoomScaleNormal="60" zoomScalePageLayoutView="0" workbookViewId="0" topLeftCell="A1">
      <selection activeCell="E31" sqref="E31"/>
    </sheetView>
  </sheetViews>
  <sheetFormatPr defaultColWidth="9.00390625" defaultRowHeight="12.75"/>
  <cols>
    <col min="1" max="1" width="56.25390625" style="0" customWidth="1"/>
    <col min="2" max="8" width="24.00390625" style="0" customWidth="1"/>
    <col min="9" max="9" width="19.00390625" style="0" customWidth="1"/>
  </cols>
  <sheetData>
    <row r="1" spans="1:17" s="161" customFormat="1" ht="23.25">
      <c r="A1" s="238" t="s">
        <v>44</v>
      </c>
      <c r="B1" s="238"/>
      <c r="C1" s="238"/>
      <c r="D1" s="238"/>
      <c r="E1" s="238"/>
      <c r="F1" s="238"/>
      <c r="Q1" s="162"/>
    </row>
    <row r="2" spans="1:17" s="163" customFormat="1" ht="23.25">
      <c r="A2" s="239" t="s">
        <v>57</v>
      </c>
      <c r="B2" s="239"/>
      <c r="C2" s="239"/>
      <c r="D2" s="240"/>
      <c r="E2" s="240"/>
      <c r="F2" s="240"/>
      <c r="J2" s="161"/>
      <c r="L2" s="161"/>
      <c r="M2" s="161"/>
      <c r="N2" s="161"/>
      <c r="O2" s="161"/>
      <c r="Q2" s="162"/>
    </row>
    <row r="3" spans="1:17" s="157" customFormat="1" ht="18.75" thickBot="1">
      <c r="A3" s="3"/>
      <c r="B3" s="3"/>
      <c r="C3" s="3"/>
      <c r="D3" s="3"/>
      <c r="E3" s="3"/>
      <c r="F3" s="141" t="s">
        <v>42</v>
      </c>
      <c r="J3" s="161"/>
      <c r="L3" s="161"/>
      <c r="M3" s="161"/>
      <c r="N3" s="161"/>
      <c r="O3" s="161"/>
      <c r="Q3" s="162"/>
    </row>
    <row r="4" spans="1:17" s="165" customFormat="1" ht="29.25" customHeight="1" thickBot="1">
      <c r="A4" s="78" t="s">
        <v>62</v>
      </c>
      <c r="B4" s="122"/>
      <c r="C4" s="92" t="s">
        <v>0</v>
      </c>
      <c r="D4" s="92" t="s">
        <v>1</v>
      </c>
      <c r="E4" s="92" t="s">
        <v>2</v>
      </c>
      <c r="F4" s="93" t="s">
        <v>3</v>
      </c>
      <c r="G4" s="7"/>
      <c r="H4" s="164"/>
      <c r="I4" s="7"/>
      <c r="J4" s="7"/>
      <c r="L4" s="7"/>
      <c r="M4" s="7"/>
      <c r="N4" s="7"/>
      <c r="O4" s="7"/>
      <c r="Q4" s="166"/>
    </row>
    <row r="5" spans="1:8" s="4" customFormat="1" ht="44.25" customHeight="1">
      <c r="A5" s="82" t="s">
        <v>7</v>
      </c>
      <c r="B5" s="114">
        <f aca="true" t="shared" si="0" ref="B5:B66">C5+D5+E5+F5</f>
        <v>87195.32800000001</v>
      </c>
      <c r="C5" s="210">
        <f>C6+C7</f>
        <v>39852.804000000004</v>
      </c>
      <c r="D5" s="210">
        <f>D6+D7</f>
        <v>1264.4569999999999</v>
      </c>
      <c r="E5" s="210">
        <f>E6+E7</f>
        <v>22165.09</v>
      </c>
      <c r="F5" s="211">
        <f>F6+F7</f>
        <v>23912.977</v>
      </c>
      <c r="G5" s="13"/>
      <c r="H5" s="32"/>
    </row>
    <row r="6" spans="1:9" s="4" customFormat="1" ht="27" customHeight="1">
      <c r="A6" s="36" t="s">
        <v>18</v>
      </c>
      <c r="B6" s="34">
        <f t="shared" si="0"/>
        <v>71939.581</v>
      </c>
      <c r="C6" s="8">
        <v>39555.482</v>
      </c>
      <c r="D6" s="8">
        <v>1263.147</v>
      </c>
      <c r="E6" s="8">
        <v>21527.604</v>
      </c>
      <c r="F6" s="9">
        <v>9593.348</v>
      </c>
      <c r="G6" s="13"/>
      <c r="H6" s="32"/>
      <c r="I6" s="32"/>
    </row>
    <row r="7" spans="1:8" s="4" customFormat="1" ht="20.25" customHeight="1">
      <c r="A7" s="36" t="s">
        <v>15</v>
      </c>
      <c r="B7" s="34">
        <f t="shared" si="0"/>
        <v>15255.747</v>
      </c>
      <c r="C7" s="8">
        <f>C8+C9</f>
        <v>297.322</v>
      </c>
      <c r="D7" s="23">
        <f>D8+D9</f>
        <v>1.31</v>
      </c>
      <c r="E7" s="23">
        <f>E8+E9</f>
        <v>637.486</v>
      </c>
      <c r="F7" s="24">
        <f>F8+F9</f>
        <v>14319.628999999999</v>
      </c>
      <c r="G7" s="13"/>
      <c r="H7" s="32"/>
    </row>
    <row r="8" spans="1:8" s="4" customFormat="1" ht="21.75" customHeight="1">
      <c r="A8" s="36" t="s">
        <v>16</v>
      </c>
      <c r="B8" s="34">
        <f t="shared" si="0"/>
        <v>4471.584</v>
      </c>
      <c r="C8" s="206">
        <v>55.499</v>
      </c>
      <c r="D8" s="206"/>
      <c r="E8" s="206">
        <v>111.631</v>
      </c>
      <c r="F8" s="207">
        <v>4304.454</v>
      </c>
      <c r="G8" s="13"/>
      <c r="H8" s="32"/>
    </row>
    <row r="9" spans="1:8" s="4" customFormat="1" ht="24.75" customHeight="1">
      <c r="A9" s="36" t="s">
        <v>17</v>
      </c>
      <c r="B9" s="34">
        <f t="shared" si="0"/>
        <v>10784.162999999999</v>
      </c>
      <c r="C9" s="206">
        <v>241.823</v>
      </c>
      <c r="D9" s="206">
        <v>1.31</v>
      </c>
      <c r="E9" s="206">
        <v>525.855</v>
      </c>
      <c r="F9" s="207">
        <v>10015.175</v>
      </c>
      <c r="G9" s="7"/>
      <c r="H9" s="73"/>
    </row>
    <row r="10" spans="1:7" s="4" customFormat="1" ht="41.25" customHeight="1">
      <c r="A10" s="86" t="s">
        <v>13</v>
      </c>
      <c r="B10" s="34">
        <f t="shared" si="0"/>
        <v>5968.068</v>
      </c>
      <c r="C10" s="23">
        <f>C11+C12</f>
        <v>900.4</v>
      </c>
      <c r="D10" s="23"/>
      <c r="E10" s="23">
        <f>E11+E12</f>
        <v>2203.157</v>
      </c>
      <c r="F10" s="24">
        <f>F11+F12</f>
        <v>2864.511</v>
      </c>
      <c r="G10" s="13"/>
    </row>
    <row r="11" spans="1:7" s="4" customFormat="1" ht="21.75" customHeight="1">
      <c r="A11" s="36" t="s">
        <v>18</v>
      </c>
      <c r="B11" s="34">
        <f t="shared" si="0"/>
        <v>3830.273</v>
      </c>
      <c r="C11" s="8">
        <v>811.678</v>
      </c>
      <c r="D11" s="8"/>
      <c r="E11" s="8">
        <v>1884.969</v>
      </c>
      <c r="F11" s="9">
        <v>1133.626</v>
      </c>
      <c r="G11" s="13"/>
    </row>
    <row r="12" spans="1:9" s="4" customFormat="1" ht="19.5" customHeight="1">
      <c r="A12" s="36" t="s">
        <v>15</v>
      </c>
      <c r="B12" s="34">
        <f t="shared" si="0"/>
        <v>2137.795</v>
      </c>
      <c r="C12" s="23">
        <f>C13+C14</f>
        <v>88.722</v>
      </c>
      <c r="D12" s="8"/>
      <c r="E12" s="23">
        <f>E13+E14</f>
        <v>318.188</v>
      </c>
      <c r="F12" s="24">
        <f>F13+F14</f>
        <v>1730.885</v>
      </c>
      <c r="G12" s="13"/>
      <c r="H12" s="73"/>
      <c r="I12" s="73"/>
    </row>
    <row r="13" spans="1:9" s="4" customFormat="1" ht="17.25" customHeight="1">
      <c r="A13" s="36" t="s">
        <v>16</v>
      </c>
      <c r="B13" s="34">
        <f t="shared" si="0"/>
        <v>1222.24</v>
      </c>
      <c r="C13" s="206"/>
      <c r="D13" s="206"/>
      <c r="E13" s="206">
        <v>51.231</v>
      </c>
      <c r="F13" s="207">
        <v>1171.009</v>
      </c>
      <c r="G13" s="13"/>
      <c r="H13" s="73"/>
      <c r="I13" s="73"/>
    </row>
    <row r="14" spans="1:8" s="4" customFormat="1" ht="17.25" customHeight="1">
      <c r="A14" s="36" t="s">
        <v>17</v>
      </c>
      <c r="B14" s="34">
        <f t="shared" si="0"/>
        <v>915.555</v>
      </c>
      <c r="C14" s="206">
        <v>88.722</v>
      </c>
      <c r="D14" s="206"/>
      <c r="E14" s="206">
        <v>266.957</v>
      </c>
      <c r="F14" s="207">
        <v>559.876</v>
      </c>
      <c r="G14" s="13"/>
      <c r="H14" s="73"/>
    </row>
    <row r="15" spans="1:8" s="4" customFormat="1" ht="35.25" customHeight="1">
      <c r="A15" s="86" t="s">
        <v>6</v>
      </c>
      <c r="B15" s="34">
        <f t="shared" si="0"/>
        <v>1420.641</v>
      </c>
      <c r="C15" s="23">
        <f>C16+C17</f>
        <v>1420.641</v>
      </c>
      <c r="D15" s="8"/>
      <c r="E15" s="8"/>
      <c r="F15" s="9"/>
      <c r="G15" s="7"/>
      <c r="H15" s="40"/>
    </row>
    <row r="16" spans="1:8" s="4" customFormat="1" ht="19.5" customHeight="1">
      <c r="A16" s="36" t="s">
        <v>18</v>
      </c>
      <c r="B16" s="34">
        <f t="shared" si="0"/>
        <v>1420.357</v>
      </c>
      <c r="C16" s="8">
        <v>1420.357</v>
      </c>
      <c r="D16" s="8"/>
      <c r="E16" s="23"/>
      <c r="F16" s="24"/>
      <c r="G16" s="7"/>
      <c r="H16" s="40"/>
    </row>
    <row r="17" spans="1:8" s="4" customFormat="1" ht="18" customHeight="1">
      <c r="A17" s="36" t="s">
        <v>15</v>
      </c>
      <c r="B17" s="34">
        <f t="shared" si="0"/>
        <v>0.284</v>
      </c>
      <c r="C17" s="23">
        <f>C18+C19</f>
        <v>0.284</v>
      </c>
      <c r="D17" s="8"/>
      <c r="E17" s="23">
        <f>E18+E19</f>
        <v>0</v>
      </c>
      <c r="F17" s="24">
        <f>F18+F19</f>
        <v>0</v>
      </c>
      <c r="G17" s="7"/>
      <c r="H17" s="40"/>
    </row>
    <row r="18" spans="1:8" s="4" customFormat="1" ht="19.5" customHeight="1">
      <c r="A18" s="36" t="s">
        <v>16</v>
      </c>
      <c r="B18" s="34">
        <f t="shared" si="0"/>
        <v>0.284</v>
      </c>
      <c r="C18" s="206">
        <v>0.284</v>
      </c>
      <c r="D18" s="206"/>
      <c r="E18" s="206"/>
      <c r="F18" s="207"/>
      <c r="G18" s="7"/>
      <c r="H18" s="40"/>
    </row>
    <row r="19" spans="1:8" s="4" customFormat="1" ht="19.5" customHeight="1">
      <c r="A19" s="36" t="s">
        <v>17</v>
      </c>
      <c r="B19" s="34">
        <f t="shared" si="0"/>
        <v>0</v>
      </c>
      <c r="C19" s="206"/>
      <c r="D19" s="206"/>
      <c r="E19" s="206"/>
      <c r="F19" s="207"/>
      <c r="G19" s="7"/>
      <c r="H19" s="40"/>
    </row>
    <row r="20" spans="1:8" s="4" customFormat="1" ht="37.5" customHeight="1">
      <c r="A20" s="86" t="s">
        <v>36</v>
      </c>
      <c r="B20" s="34">
        <f t="shared" si="0"/>
        <v>626.7660000000001</v>
      </c>
      <c r="C20" s="23">
        <f>C21+C22</f>
        <v>9.082</v>
      </c>
      <c r="D20" s="23">
        <f>D21+D22</f>
        <v>503.401</v>
      </c>
      <c r="E20" s="23">
        <f>E21+E22</f>
        <v>18.123</v>
      </c>
      <c r="F20" s="24">
        <f>F21+F22</f>
        <v>96.16</v>
      </c>
      <c r="G20" s="13"/>
      <c r="H20" s="73"/>
    </row>
    <row r="21" spans="1:8" s="4" customFormat="1" ht="21.75" customHeight="1">
      <c r="A21" s="36" t="s">
        <v>18</v>
      </c>
      <c r="B21" s="34">
        <f t="shared" si="0"/>
        <v>605.7260000000001</v>
      </c>
      <c r="C21" s="8">
        <v>9.082</v>
      </c>
      <c r="D21" s="8">
        <v>503.401</v>
      </c>
      <c r="E21" s="8">
        <v>18.123</v>
      </c>
      <c r="F21" s="9">
        <v>75.12</v>
      </c>
      <c r="G21" s="13"/>
      <c r="H21" s="73"/>
    </row>
    <row r="22" spans="1:8" s="4" customFormat="1" ht="21" customHeight="1">
      <c r="A22" s="36" t="s">
        <v>15</v>
      </c>
      <c r="B22" s="34">
        <f t="shared" si="0"/>
        <v>21.04</v>
      </c>
      <c r="C22" s="8"/>
      <c r="D22" s="8"/>
      <c r="E22" s="23">
        <f>E23+E24</f>
        <v>0</v>
      </c>
      <c r="F22" s="24">
        <f>F23+F24</f>
        <v>21.04</v>
      </c>
      <c r="G22" s="13"/>
      <c r="H22" s="73"/>
    </row>
    <row r="23" spans="1:8" s="4" customFormat="1" ht="21.75" customHeight="1">
      <c r="A23" s="36" t="s">
        <v>16</v>
      </c>
      <c r="B23" s="34">
        <f t="shared" si="0"/>
        <v>21.04</v>
      </c>
      <c r="C23" s="206"/>
      <c r="D23" s="206"/>
      <c r="E23" s="206"/>
      <c r="F23" s="207">
        <v>21.04</v>
      </c>
      <c r="G23" s="13"/>
      <c r="H23" s="73"/>
    </row>
    <row r="24" spans="1:8" s="4" customFormat="1" ht="21" customHeight="1">
      <c r="A24" s="36" t="s">
        <v>17</v>
      </c>
      <c r="B24" s="34">
        <f t="shared" si="0"/>
        <v>0</v>
      </c>
      <c r="C24" s="206"/>
      <c r="D24" s="206"/>
      <c r="E24" s="206"/>
      <c r="F24" s="207"/>
      <c r="G24" s="13"/>
      <c r="H24" s="73"/>
    </row>
    <row r="25" spans="1:8" s="4" customFormat="1" ht="41.25" customHeight="1">
      <c r="A25" s="86" t="s">
        <v>8</v>
      </c>
      <c r="B25" s="34">
        <f t="shared" si="0"/>
        <v>12496.483</v>
      </c>
      <c r="C25" s="23">
        <f>C26+C27</f>
        <v>6656.51</v>
      </c>
      <c r="D25" s="23"/>
      <c r="E25" s="23">
        <f>E26+E27</f>
        <v>2125.4069999999997</v>
      </c>
      <c r="F25" s="24">
        <f>F26+F27</f>
        <v>3714.566</v>
      </c>
      <c r="G25" s="13"/>
      <c r="H25" s="73"/>
    </row>
    <row r="26" spans="1:8" s="4" customFormat="1" ht="19.5" customHeight="1">
      <c r="A26" s="36" t="s">
        <v>18</v>
      </c>
      <c r="B26" s="34">
        <f t="shared" si="0"/>
        <v>9976.035</v>
      </c>
      <c r="C26" s="8">
        <v>6656.51</v>
      </c>
      <c r="D26" s="8"/>
      <c r="E26" s="23">
        <v>2070.082</v>
      </c>
      <c r="F26" s="24">
        <v>1249.443</v>
      </c>
      <c r="G26" s="13"/>
      <c r="H26" s="73"/>
    </row>
    <row r="27" spans="1:8" s="4" customFormat="1" ht="24.75" customHeight="1">
      <c r="A27" s="36" t="s">
        <v>15</v>
      </c>
      <c r="B27" s="34">
        <f t="shared" si="0"/>
        <v>2520.448</v>
      </c>
      <c r="C27" s="8"/>
      <c r="D27" s="8"/>
      <c r="E27" s="23">
        <f>E28+E29</f>
        <v>55.325</v>
      </c>
      <c r="F27" s="24">
        <f>F28+F29</f>
        <v>2465.123</v>
      </c>
      <c r="G27" s="13"/>
      <c r="H27" s="73"/>
    </row>
    <row r="28" spans="1:8" s="4" customFormat="1" ht="25.5" customHeight="1">
      <c r="A28" s="36" t="s">
        <v>16</v>
      </c>
      <c r="B28" s="34">
        <f t="shared" si="0"/>
        <v>2491.3309999999997</v>
      </c>
      <c r="C28" s="206"/>
      <c r="D28" s="206"/>
      <c r="E28" s="206">
        <v>55.325</v>
      </c>
      <c r="F28" s="207">
        <f>2346.574+89.432</f>
        <v>2436.006</v>
      </c>
      <c r="G28" s="13"/>
      <c r="H28" s="73"/>
    </row>
    <row r="29" spans="1:8" s="4" customFormat="1" ht="20.25" customHeight="1">
      <c r="A29" s="36" t="s">
        <v>17</v>
      </c>
      <c r="B29" s="34">
        <f t="shared" si="0"/>
        <v>29.117</v>
      </c>
      <c r="C29" s="206"/>
      <c r="D29" s="206"/>
      <c r="E29" s="206"/>
      <c r="F29" s="207">
        <v>29.117</v>
      </c>
      <c r="G29" s="13"/>
      <c r="H29" s="73"/>
    </row>
    <row r="30" spans="1:8" s="4" customFormat="1" ht="50.25" customHeight="1">
      <c r="A30" s="86" t="s">
        <v>9</v>
      </c>
      <c r="B30" s="34">
        <f t="shared" si="0"/>
        <v>113.989</v>
      </c>
      <c r="C30" s="23"/>
      <c r="D30" s="23"/>
      <c r="E30" s="23">
        <f>E31+E32</f>
        <v>69.995</v>
      </c>
      <c r="F30" s="24">
        <f>F31+F32</f>
        <v>43.994</v>
      </c>
      <c r="G30" s="7"/>
      <c r="H30" s="40"/>
    </row>
    <row r="31" spans="1:8" s="4" customFormat="1" ht="22.5" customHeight="1">
      <c r="A31" s="36" t="s">
        <v>18</v>
      </c>
      <c r="B31" s="34">
        <f t="shared" si="0"/>
        <v>81.72800000000001</v>
      </c>
      <c r="C31" s="8"/>
      <c r="D31" s="8"/>
      <c r="E31" s="23">
        <v>69.995</v>
      </c>
      <c r="F31" s="24">
        <v>11.733</v>
      </c>
      <c r="G31" s="7"/>
      <c r="H31" s="40"/>
    </row>
    <row r="32" spans="1:8" s="4" customFormat="1" ht="24.75" customHeight="1">
      <c r="A32" s="36" t="s">
        <v>15</v>
      </c>
      <c r="B32" s="34">
        <f t="shared" si="0"/>
        <v>32.261</v>
      </c>
      <c r="C32" s="8"/>
      <c r="D32" s="8"/>
      <c r="E32" s="23">
        <f>E33+E34</f>
        <v>0</v>
      </c>
      <c r="F32" s="24">
        <f>F33+F34</f>
        <v>32.261</v>
      </c>
      <c r="G32" s="7"/>
      <c r="H32" s="40"/>
    </row>
    <row r="33" spans="1:8" s="4" customFormat="1" ht="18" customHeight="1">
      <c r="A33" s="36" t="s">
        <v>16</v>
      </c>
      <c r="B33" s="34">
        <f t="shared" si="0"/>
        <v>27.155</v>
      </c>
      <c r="C33" s="206"/>
      <c r="D33" s="206"/>
      <c r="E33" s="206"/>
      <c r="F33" s="207">
        <v>27.155</v>
      </c>
      <c r="G33" s="7"/>
      <c r="H33" s="40"/>
    </row>
    <row r="34" spans="1:8" s="4" customFormat="1" ht="18" customHeight="1">
      <c r="A34" s="36" t="s">
        <v>17</v>
      </c>
      <c r="B34" s="34">
        <f t="shared" si="0"/>
        <v>5.106</v>
      </c>
      <c r="C34" s="206"/>
      <c r="D34" s="206"/>
      <c r="E34" s="206"/>
      <c r="F34" s="207">
        <v>5.106</v>
      </c>
      <c r="G34" s="7"/>
      <c r="H34" s="40"/>
    </row>
    <row r="35" spans="1:8" s="4" customFormat="1" ht="25.5" customHeight="1">
      <c r="A35" s="86" t="s">
        <v>32</v>
      </c>
      <c r="B35" s="34">
        <f t="shared" si="0"/>
        <v>165.488</v>
      </c>
      <c r="C35" s="23">
        <f>C36+C37</f>
        <v>101.312</v>
      </c>
      <c r="D35" s="208"/>
      <c r="E35" s="23">
        <f>E36+E37</f>
        <v>64.176</v>
      </c>
      <c r="F35" s="24">
        <f>F36+F37</f>
        <v>0</v>
      </c>
      <c r="G35" s="7"/>
      <c r="H35" s="40"/>
    </row>
    <row r="36" spans="1:8" s="4" customFormat="1" ht="23.25" customHeight="1">
      <c r="A36" s="36" t="s">
        <v>18</v>
      </c>
      <c r="B36" s="34">
        <f t="shared" si="0"/>
        <v>149.069</v>
      </c>
      <c r="C36" s="8">
        <v>101.312</v>
      </c>
      <c r="D36" s="8"/>
      <c r="E36" s="8">
        <v>47.757</v>
      </c>
      <c r="F36" s="9"/>
      <c r="G36" s="7"/>
      <c r="H36" s="40"/>
    </row>
    <row r="37" spans="1:8" s="4" customFormat="1" ht="23.25" customHeight="1">
      <c r="A37" s="36" t="s">
        <v>15</v>
      </c>
      <c r="B37" s="34">
        <f t="shared" si="0"/>
        <v>16.419</v>
      </c>
      <c r="C37" s="23">
        <f>C38+C39</f>
        <v>0</v>
      </c>
      <c r="D37" s="8"/>
      <c r="E37" s="23">
        <f>E38+E39</f>
        <v>16.419</v>
      </c>
      <c r="F37" s="24"/>
      <c r="G37" s="7"/>
      <c r="H37" s="40"/>
    </row>
    <row r="38" spans="1:8" s="4" customFormat="1" ht="23.25" customHeight="1">
      <c r="A38" s="36" t="s">
        <v>16</v>
      </c>
      <c r="B38" s="34">
        <f t="shared" si="0"/>
        <v>0</v>
      </c>
      <c r="C38" s="208"/>
      <c r="D38" s="208"/>
      <c r="E38" s="208"/>
      <c r="F38" s="12"/>
      <c r="G38" s="7"/>
      <c r="H38" s="40"/>
    </row>
    <row r="39" spans="1:8" s="4" customFormat="1" ht="23.25" customHeight="1">
      <c r="A39" s="36" t="s">
        <v>17</v>
      </c>
      <c r="B39" s="34">
        <f t="shared" si="0"/>
        <v>16.419</v>
      </c>
      <c r="C39" s="208"/>
      <c r="D39" s="208"/>
      <c r="E39" s="208">
        <v>16.419</v>
      </c>
      <c r="F39" s="12"/>
      <c r="G39" s="7"/>
      <c r="H39" s="40"/>
    </row>
    <row r="40" spans="1:9" s="4" customFormat="1" ht="42" customHeight="1">
      <c r="A40" s="86" t="s">
        <v>33</v>
      </c>
      <c r="B40" s="34">
        <f t="shared" si="0"/>
        <v>39.503</v>
      </c>
      <c r="C40" s="23">
        <f>C41+C42</f>
        <v>1.074</v>
      </c>
      <c r="D40" s="208"/>
      <c r="E40" s="23">
        <f>E41+E42</f>
        <v>38.429</v>
      </c>
      <c r="F40" s="24"/>
      <c r="G40" s="7"/>
      <c r="H40" s="73"/>
      <c r="I40" s="7"/>
    </row>
    <row r="41" spans="1:8" s="4" customFormat="1" ht="19.5" customHeight="1">
      <c r="A41" s="36" t="s">
        <v>18</v>
      </c>
      <c r="B41" s="34">
        <f t="shared" si="0"/>
        <v>1.074</v>
      </c>
      <c r="C41" s="8">
        <v>1.074</v>
      </c>
      <c r="D41" s="8"/>
      <c r="E41" s="8"/>
      <c r="F41" s="9"/>
      <c r="G41" s="7"/>
      <c r="H41" s="73"/>
    </row>
    <row r="42" spans="1:8" s="4" customFormat="1" ht="19.5" customHeight="1">
      <c r="A42" s="36" t="s">
        <v>15</v>
      </c>
      <c r="B42" s="34">
        <f t="shared" si="0"/>
        <v>38.429</v>
      </c>
      <c r="C42" s="23"/>
      <c r="D42" s="8"/>
      <c r="E42" s="23">
        <f>E43+E44</f>
        <v>38.429</v>
      </c>
      <c r="F42" s="24"/>
      <c r="G42" s="7"/>
      <c r="H42" s="73"/>
    </row>
    <row r="43" spans="1:8" s="4" customFormat="1" ht="19.5" customHeight="1">
      <c r="A43" s="36" t="s">
        <v>16</v>
      </c>
      <c r="B43" s="34">
        <f t="shared" si="0"/>
        <v>38.429</v>
      </c>
      <c r="C43" s="208"/>
      <c r="D43" s="208"/>
      <c r="E43" s="208">
        <v>38.429</v>
      </c>
      <c r="F43" s="12"/>
      <c r="G43" s="7"/>
      <c r="H43" s="73"/>
    </row>
    <row r="44" spans="1:8" s="4" customFormat="1" ht="19.5" customHeight="1">
      <c r="A44" s="36" t="s">
        <v>17</v>
      </c>
      <c r="B44" s="34">
        <f t="shared" si="0"/>
        <v>0</v>
      </c>
      <c r="C44" s="208"/>
      <c r="D44" s="208"/>
      <c r="E44" s="208"/>
      <c r="F44" s="12"/>
      <c r="G44" s="7"/>
      <c r="H44" s="73"/>
    </row>
    <row r="45" spans="1:8" s="4" customFormat="1" ht="24.75" customHeight="1">
      <c r="A45" s="86" t="s">
        <v>10</v>
      </c>
      <c r="B45" s="34">
        <f t="shared" si="0"/>
        <v>978.934</v>
      </c>
      <c r="C45" s="23"/>
      <c r="D45" s="8"/>
      <c r="E45" s="23">
        <f>E46+E47</f>
        <v>408.41200000000003</v>
      </c>
      <c r="F45" s="24">
        <f>F46+F47</f>
        <v>570.5219999999999</v>
      </c>
      <c r="G45" s="13"/>
      <c r="H45" s="32"/>
    </row>
    <row r="46" spans="1:8" s="4" customFormat="1" ht="24.75" customHeight="1">
      <c r="A46" s="36" t="s">
        <v>18</v>
      </c>
      <c r="B46" s="34">
        <f t="shared" si="0"/>
        <v>556.637</v>
      </c>
      <c r="C46" s="8"/>
      <c r="D46" s="8"/>
      <c r="E46" s="23">
        <v>400.247</v>
      </c>
      <c r="F46" s="24">
        <v>156.39</v>
      </c>
      <c r="G46" s="13"/>
      <c r="H46" s="32"/>
    </row>
    <row r="47" spans="1:8" s="4" customFormat="1" ht="24.75" customHeight="1">
      <c r="A47" s="36" t="s">
        <v>15</v>
      </c>
      <c r="B47" s="34">
        <f t="shared" si="0"/>
        <v>422.29699999999997</v>
      </c>
      <c r="C47" s="8"/>
      <c r="D47" s="8"/>
      <c r="E47" s="23">
        <f>E48+E49</f>
        <v>8.165000000000001</v>
      </c>
      <c r="F47" s="24">
        <f>F48+F49</f>
        <v>414.13199999999995</v>
      </c>
      <c r="G47" s="13"/>
      <c r="H47" s="32"/>
    </row>
    <row r="48" spans="1:8" s="4" customFormat="1" ht="24.75" customHeight="1">
      <c r="A48" s="36" t="s">
        <v>16</v>
      </c>
      <c r="B48" s="34">
        <f t="shared" si="0"/>
        <v>328.17199999999997</v>
      </c>
      <c r="C48" s="8"/>
      <c r="D48" s="8"/>
      <c r="E48" s="206">
        <v>6.325</v>
      </c>
      <c r="F48" s="207">
        <f>294.467+27.38</f>
        <v>321.847</v>
      </c>
      <c r="G48" s="13"/>
      <c r="H48" s="32"/>
    </row>
    <row r="49" spans="1:8" s="4" customFormat="1" ht="24.75" customHeight="1">
      <c r="A49" s="36" t="s">
        <v>17</v>
      </c>
      <c r="B49" s="34">
        <f t="shared" si="0"/>
        <v>94.125</v>
      </c>
      <c r="C49" s="8"/>
      <c r="D49" s="8"/>
      <c r="E49" s="206">
        <v>1.84</v>
      </c>
      <c r="F49" s="207">
        <v>92.285</v>
      </c>
      <c r="G49" s="13"/>
      <c r="H49" s="32"/>
    </row>
    <row r="50" spans="1:8" s="4" customFormat="1" ht="24.75" customHeight="1">
      <c r="A50" s="86" t="s">
        <v>5</v>
      </c>
      <c r="B50" s="34">
        <f t="shared" si="0"/>
        <v>2697.9799999999996</v>
      </c>
      <c r="C50" s="23">
        <f>C51+C52</f>
        <v>368.733</v>
      </c>
      <c r="D50" s="8"/>
      <c r="E50" s="23">
        <f>E51+E52</f>
        <v>1446.9879999999998</v>
      </c>
      <c r="F50" s="24">
        <f>F51+F52</f>
        <v>882.259</v>
      </c>
      <c r="G50" s="13"/>
      <c r="H50" s="32"/>
    </row>
    <row r="51" spans="1:8" s="4" customFormat="1" ht="24.75" customHeight="1">
      <c r="A51" s="36" t="s">
        <v>18</v>
      </c>
      <c r="B51" s="34">
        <f t="shared" si="0"/>
        <v>1611.492</v>
      </c>
      <c r="C51" s="23">
        <v>368.733</v>
      </c>
      <c r="D51" s="8"/>
      <c r="E51" s="23">
        <v>915.752</v>
      </c>
      <c r="F51" s="24">
        <v>327.007</v>
      </c>
      <c r="G51" s="13"/>
      <c r="H51" s="32"/>
    </row>
    <row r="52" spans="1:8" s="4" customFormat="1" ht="24.75" customHeight="1">
      <c r="A52" s="36" t="s">
        <v>15</v>
      </c>
      <c r="B52" s="34">
        <f t="shared" si="0"/>
        <v>1086.4879999999998</v>
      </c>
      <c r="C52" s="8"/>
      <c r="D52" s="8"/>
      <c r="E52" s="23">
        <f>E53+E54</f>
        <v>531.236</v>
      </c>
      <c r="F52" s="24">
        <f>F53+F54</f>
        <v>555.252</v>
      </c>
      <c r="G52" s="13"/>
      <c r="H52" s="32"/>
    </row>
    <row r="53" spans="1:8" s="4" customFormat="1" ht="24.75" customHeight="1">
      <c r="A53" s="36" t="s">
        <v>16</v>
      </c>
      <c r="B53" s="34">
        <f t="shared" si="0"/>
        <v>1078.9279999999999</v>
      </c>
      <c r="C53" s="206"/>
      <c r="D53" s="206"/>
      <c r="E53" s="206">
        <f>498.935+24.741</f>
        <v>523.676</v>
      </c>
      <c r="F53" s="207">
        <f>485.527+69.725</f>
        <v>555.252</v>
      </c>
      <c r="G53" s="13"/>
      <c r="H53" s="32"/>
    </row>
    <row r="54" spans="1:8" s="4" customFormat="1" ht="24.75" customHeight="1">
      <c r="A54" s="36" t="s">
        <v>17</v>
      </c>
      <c r="B54" s="34">
        <f t="shared" si="0"/>
        <v>7.56</v>
      </c>
      <c r="C54" s="206"/>
      <c r="D54" s="206"/>
      <c r="E54" s="206">
        <v>7.56</v>
      </c>
      <c r="F54" s="207"/>
      <c r="G54" s="13"/>
      <c r="H54" s="32"/>
    </row>
    <row r="55" spans="1:8" s="4" customFormat="1" ht="50.25" customHeight="1">
      <c r="A55" s="86" t="s">
        <v>11</v>
      </c>
      <c r="B55" s="34">
        <f t="shared" si="0"/>
        <v>5868.7880000000005</v>
      </c>
      <c r="C55" s="23"/>
      <c r="D55" s="8"/>
      <c r="E55" s="23">
        <f>E56+E57</f>
        <v>1362.194</v>
      </c>
      <c r="F55" s="24">
        <f>F56+F57</f>
        <v>4506.594</v>
      </c>
      <c r="G55" s="13"/>
      <c r="H55" s="32"/>
    </row>
    <row r="56" spans="1:8" s="4" customFormat="1" ht="26.25" customHeight="1">
      <c r="A56" s="36" t="s">
        <v>18</v>
      </c>
      <c r="B56" s="34">
        <f t="shared" si="0"/>
        <v>2927.174</v>
      </c>
      <c r="C56" s="8"/>
      <c r="D56" s="8"/>
      <c r="E56" s="23">
        <v>1316.254</v>
      </c>
      <c r="F56" s="24">
        <v>1610.92</v>
      </c>
      <c r="G56" s="13"/>
      <c r="H56" s="32"/>
    </row>
    <row r="57" spans="1:8" s="4" customFormat="1" ht="26.25" customHeight="1">
      <c r="A57" s="36" t="s">
        <v>15</v>
      </c>
      <c r="B57" s="34">
        <f t="shared" si="0"/>
        <v>2941.614</v>
      </c>
      <c r="C57" s="8"/>
      <c r="D57" s="8"/>
      <c r="E57" s="23">
        <f>E58+E59</f>
        <v>45.94</v>
      </c>
      <c r="F57" s="24">
        <f>F58+F59</f>
        <v>2895.674</v>
      </c>
      <c r="G57" s="13"/>
      <c r="H57" s="32"/>
    </row>
    <row r="58" spans="1:8" s="4" customFormat="1" ht="26.25" customHeight="1">
      <c r="A58" s="36" t="s">
        <v>16</v>
      </c>
      <c r="B58" s="34">
        <f t="shared" si="0"/>
        <v>722.758</v>
      </c>
      <c r="C58" s="10"/>
      <c r="D58" s="8"/>
      <c r="E58" s="206">
        <v>20.648</v>
      </c>
      <c r="F58" s="207">
        <v>702.11</v>
      </c>
      <c r="G58" s="13"/>
      <c r="H58" s="32"/>
    </row>
    <row r="59" spans="1:8" s="4" customFormat="1" ht="26.25" customHeight="1">
      <c r="A59" s="36" t="s">
        <v>17</v>
      </c>
      <c r="B59" s="34">
        <f t="shared" si="0"/>
        <v>2218.8559999999998</v>
      </c>
      <c r="C59" s="10"/>
      <c r="D59" s="8"/>
      <c r="E59" s="206">
        <v>25.292</v>
      </c>
      <c r="F59" s="207">
        <v>2193.564</v>
      </c>
      <c r="G59" s="13"/>
      <c r="H59" s="32"/>
    </row>
    <row r="60" spans="1:8" s="4" customFormat="1" ht="24.75" customHeight="1">
      <c r="A60" s="87" t="s">
        <v>39</v>
      </c>
      <c r="B60" s="34">
        <f t="shared" si="0"/>
        <v>148.736</v>
      </c>
      <c r="C60" s="10"/>
      <c r="D60" s="8"/>
      <c r="E60" s="8">
        <f>E61+E62</f>
        <v>70.29</v>
      </c>
      <c r="F60" s="9">
        <f>F61+F62</f>
        <v>78.446</v>
      </c>
      <c r="G60" s="7"/>
      <c r="H60" s="32"/>
    </row>
    <row r="61" spans="1:8" s="4" customFormat="1" ht="21.75" customHeight="1">
      <c r="A61" s="36" t="s">
        <v>18</v>
      </c>
      <c r="B61" s="34">
        <f t="shared" si="0"/>
        <v>148.736</v>
      </c>
      <c r="C61" s="8"/>
      <c r="D61" s="8"/>
      <c r="E61" s="23">
        <v>70.29</v>
      </c>
      <c r="F61" s="24">
        <v>78.446</v>
      </c>
      <c r="G61" s="7"/>
      <c r="H61" s="68"/>
    </row>
    <row r="62" spans="1:8" s="4" customFormat="1" ht="16.5" customHeight="1">
      <c r="A62" s="36" t="s">
        <v>15</v>
      </c>
      <c r="B62" s="34">
        <f t="shared" si="0"/>
        <v>0</v>
      </c>
      <c r="C62" s="8"/>
      <c r="D62" s="8"/>
      <c r="E62" s="23">
        <f>E63+E64</f>
        <v>0</v>
      </c>
      <c r="F62" s="24">
        <f>F63+F64</f>
        <v>0</v>
      </c>
      <c r="G62" s="7"/>
      <c r="H62" s="68"/>
    </row>
    <row r="63" spans="1:8" s="4" customFormat="1" ht="18" customHeight="1">
      <c r="A63" s="36" t="s">
        <v>16</v>
      </c>
      <c r="B63" s="34">
        <f t="shared" si="0"/>
        <v>0</v>
      </c>
      <c r="C63" s="10"/>
      <c r="D63" s="8"/>
      <c r="E63" s="10"/>
      <c r="F63" s="19"/>
      <c r="G63" s="7"/>
      <c r="H63" s="68"/>
    </row>
    <row r="64" spans="1:8" s="4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  <c r="G64" s="7"/>
      <c r="H64" s="68"/>
    </row>
    <row r="65" spans="1:8" s="4" customFormat="1" ht="24.75" customHeight="1">
      <c r="A65" s="87" t="s">
        <v>4</v>
      </c>
      <c r="B65" s="34">
        <f t="shared" si="0"/>
        <v>816.057</v>
      </c>
      <c r="C65" s="208">
        <f>C66+C67</f>
        <v>816.057</v>
      </c>
      <c r="D65" s="8"/>
      <c r="E65" s="8"/>
      <c r="F65" s="9"/>
      <c r="G65" s="7"/>
      <c r="H65" s="68"/>
    </row>
    <row r="66" spans="1:8" s="4" customFormat="1" ht="21.75" customHeight="1">
      <c r="A66" s="36" t="s">
        <v>18</v>
      </c>
      <c r="B66" s="34">
        <f t="shared" si="0"/>
        <v>816.057</v>
      </c>
      <c r="C66" s="23">
        <v>816.057</v>
      </c>
      <c r="D66" s="8"/>
      <c r="E66" s="23">
        <f>E65-E67</f>
        <v>0</v>
      </c>
      <c r="F66" s="24">
        <f>F65-F67</f>
        <v>0</v>
      </c>
      <c r="G66" s="7"/>
      <c r="H66" s="68"/>
    </row>
    <row r="67" spans="1:8" s="4" customFormat="1" ht="18" customHeight="1">
      <c r="A67" s="36" t="s">
        <v>15</v>
      </c>
      <c r="B67" s="5">
        <f>C67+D67+E67+F67</f>
        <v>0</v>
      </c>
      <c r="C67" s="23">
        <f>C68+C69</f>
        <v>0</v>
      </c>
      <c r="D67" s="8"/>
      <c r="E67" s="23">
        <f>E68+E69</f>
        <v>0</v>
      </c>
      <c r="F67" s="24">
        <f>F68+F69</f>
        <v>0</v>
      </c>
      <c r="G67" s="7"/>
      <c r="H67" s="68"/>
    </row>
    <row r="68" spans="1:8" s="4" customFormat="1" ht="19.5" customHeight="1">
      <c r="A68" s="36" t="s">
        <v>16</v>
      </c>
      <c r="B68" s="5">
        <f>C68+D68+E68+F68</f>
        <v>0</v>
      </c>
      <c r="C68" s="208"/>
      <c r="D68" s="8"/>
      <c r="E68" s="8"/>
      <c r="F68" s="9"/>
      <c r="G68" s="7"/>
      <c r="H68" s="68"/>
    </row>
    <row r="69" spans="1:8" s="4" customFormat="1" ht="19.5" customHeight="1" thickBot="1">
      <c r="A69" s="37" t="s">
        <v>17</v>
      </c>
      <c r="B69" s="72">
        <f>C69+D69+E69+F69</f>
        <v>0</v>
      </c>
      <c r="C69" s="223"/>
      <c r="D69" s="27"/>
      <c r="E69" s="27"/>
      <c r="F69" s="28"/>
      <c r="G69" s="7"/>
      <c r="H69" s="68"/>
    </row>
    <row r="70" spans="1:8" s="7" customFormat="1" ht="25.5" customHeight="1">
      <c r="A70" s="140" t="s">
        <v>26</v>
      </c>
      <c r="B70" s="95">
        <f>C70+D70+E70+F70</f>
        <v>309.05</v>
      </c>
      <c r="C70" s="45"/>
      <c r="D70" s="45"/>
      <c r="E70" s="212">
        <v>309.05</v>
      </c>
      <c r="F70" s="47"/>
      <c r="H70" s="40"/>
    </row>
    <row r="71" spans="1:6" s="157" customFormat="1" ht="18">
      <c r="A71" s="54" t="s">
        <v>27</v>
      </c>
      <c r="B71" s="5">
        <f aca="true" t="shared" si="1" ref="B71:B78">C71+D71+E71+F71</f>
        <v>49.173</v>
      </c>
      <c r="C71" s="48"/>
      <c r="D71" s="48"/>
      <c r="E71" s="213">
        <v>49.173</v>
      </c>
      <c r="F71" s="50"/>
    </row>
    <row r="72" spans="1:6" s="157" customFormat="1" ht="18">
      <c r="A72" s="54" t="s">
        <v>34</v>
      </c>
      <c r="B72" s="5">
        <f t="shared" si="1"/>
        <v>683.973</v>
      </c>
      <c r="C72" s="48"/>
      <c r="D72" s="48"/>
      <c r="E72" s="49">
        <v>622.533</v>
      </c>
      <c r="F72" s="51">
        <v>61.44</v>
      </c>
    </row>
    <row r="73" spans="1:8" s="161" customFormat="1" ht="23.25" customHeight="1">
      <c r="A73" s="62" t="s">
        <v>35</v>
      </c>
      <c r="B73" s="5">
        <f t="shared" si="1"/>
        <v>1808.3600000000001</v>
      </c>
      <c r="C73" s="52">
        <v>1795.96</v>
      </c>
      <c r="D73" s="52"/>
      <c r="E73" s="52"/>
      <c r="F73" s="53">
        <v>12.4</v>
      </c>
      <c r="G73" s="7"/>
      <c r="H73" s="158"/>
    </row>
    <row r="74" spans="1:8" s="161" customFormat="1" ht="23.25" customHeight="1">
      <c r="A74" s="54" t="s">
        <v>28</v>
      </c>
      <c r="B74" s="5">
        <f t="shared" si="1"/>
        <v>834.472</v>
      </c>
      <c r="C74" s="10">
        <v>564.15</v>
      </c>
      <c r="D74" s="10"/>
      <c r="E74" s="10">
        <v>205.862</v>
      </c>
      <c r="F74" s="19">
        <v>64.46</v>
      </c>
      <c r="G74" s="7"/>
      <c r="H74" s="159"/>
    </row>
    <row r="75" spans="1:8" s="161" customFormat="1" ht="36.75" customHeight="1">
      <c r="A75" s="62" t="s">
        <v>29</v>
      </c>
      <c r="B75" s="104">
        <f t="shared" si="1"/>
        <v>512.532</v>
      </c>
      <c r="C75" s="215"/>
      <c r="D75" s="215"/>
      <c r="E75" s="215">
        <v>512.532</v>
      </c>
      <c r="F75" s="216"/>
      <c r="G75" s="7"/>
      <c r="H75" s="160"/>
    </row>
    <row r="76" spans="1:8" s="161" customFormat="1" ht="36.75" customHeight="1">
      <c r="A76" s="105" t="s">
        <v>30</v>
      </c>
      <c r="B76" s="104">
        <f t="shared" si="1"/>
        <v>62.64</v>
      </c>
      <c r="C76" s="215"/>
      <c r="D76" s="215"/>
      <c r="E76" s="215"/>
      <c r="F76" s="216">
        <v>62.64</v>
      </c>
      <c r="G76" s="98"/>
      <c r="H76" s="160"/>
    </row>
    <row r="77" spans="1:8" s="161" customFormat="1" ht="36.75" customHeight="1" thickBot="1">
      <c r="A77" s="106" t="s">
        <v>31</v>
      </c>
      <c r="B77" s="107">
        <f t="shared" si="1"/>
        <v>253.865</v>
      </c>
      <c r="C77" s="217"/>
      <c r="D77" s="217"/>
      <c r="E77" s="217">
        <v>10.311</v>
      </c>
      <c r="F77" s="218">
        <v>243.554</v>
      </c>
      <c r="G77" s="7"/>
      <c r="H77" s="68"/>
    </row>
    <row r="78" spans="1:8" s="161" customFormat="1" ht="23.25" customHeight="1" thickBot="1">
      <c r="A78" s="110" t="s">
        <v>40</v>
      </c>
      <c r="B78" s="88">
        <f t="shared" si="1"/>
        <v>123050.826</v>
      </c>
      <c r="C78" s="89">
        <f>C5+C10+C15+C20+C25+C30+C35+C40+C45+C50+C55+C60+C65+C70+C71+C72+C73+C74+C75+C76+C77</f>
        <v>52486.72300000001</v>
      </c>
      <c r="D78" s="89">
        <f>D5+D10+D15+D20+D25+D30+D35+D40+D45+D50+D55+D60+D65+D70+D71+D72+D73+D74+D75+D76+D77</f>
        <v>1767.858</v>
      </c>
      <c r="E78" s="89">
        <f>E5+E10+E15+E20+E25+E30+E35+E40+E45+E50+E55+E60+E65+E70+E71+E72+E73+E74+E75+E76+E77</f>
        <v>31681.721999999998</v>
      </c>
      <c r="F78" s="89">
        <f>F5+F10+F15+F20+F25+F30+F35+F40+F45+F50+F55+F60+F65+F70+F71+F72+F73+F74+F75+F76+F77</f>
        <v>37114.522999999994</v>
      </c>
      <c r="G78" s="101"/>
      <c r="H78" s="68"/>
    </row>
    <row r="79" spans="1:8" s="161" customFormat="1" ht="23.25" customHeight="1">
      <c r="A79"/>
      <c r="B79"/>
      <c r="C79"/>
      <c r="D79"/>
      <c r="E79"/>
      <c r="F79"/>
      <c r="G79" s="7"/>
      <c r="H79" s="68"/>
    </row>
    <row r="80" spans="1:8" s="161" customFormat="1" ht="23.25" customHeight="1">
      <c r="A80"/>
      <c r="B80"/>
      <c r="C80"/>
      <c r="D80"/>
      <c r="E80"/>
      <c r="F80"/>
      <c r="G80" s="7"/>
      <c r="H80" s="68"/>
    </row>
    <row r="81" spans="1:6" s="161" customFormat="1" ht="38.25" customHeight="1">
      <c r="A81"/>
      <c r="B81"/>
      <c r="C81"/>
      <c r="D81"/>
      <c r="E81"/>
      <c r="F81"/>
    </row>
    <row r="82" spans="1:6" s="157" customFormat="1" ht="12.75">
      <c r="A82"/>
      <c r="B82"/>
      <c r="C82"/>
      <c r="D82"/>
      <c r="E82"/>
      <c r="F82"/>
    </row>
    <row r="83" spans="1:6" s="157" customFormat="1" ht="12.75">
      <c r="A83"/>
      <c r="B83"/>
      <c r="C83"/>
      <c r="D83"/>
      <c r="E83"/>
      <c r="F83"/>
    </row>
    <row r="84" spans="1:17" s="157" customFormat="1" ht="18">
      <c r="A84"/>
      <c r="B84"/>
      <c r="C84"/>
      <c r="D84"/>
      <c r="E84"/>
      <c r="F84"/>
      <c r="J84" s="161"/>
      <c r="L84" s="161"/>
      <c r="M84" s="161"/>
      <c r="N84" s="161"/>
      <c r="O84" s="161"/>
      <c r="Q84" s="162"/>
    </row>
    <row r="85" spans="1:17" s="157" customFormat="1" ht="18">
      <c r="A85"/>
      <c r="B85"/>
      <c r="C85"/>
      <c r="D85"/>
      <c r="E85"/>
      <c r="F85"/>
      <c r="J85" s="161"/>
      <c r="L85" s="161"/>
      <c r="M85" s="161"/>
      <c r="N85" s="161"/>
      <c r="O85" s="161"/>
      <c r="Q85" s="162"/>
    </row>
    <row r="86" spans="1:17" s="157" customFormat="1" ht="18">
      <c r="A86"/>
      <c r="B86"/>
      <c r="C86"/>
      <c r="D86"/>
      <c r="E86"/>
      <c r="F86"/>
      <c r="J86" s="161"/>
      <c r="L86" s="161"/>
      <c r="M86" s="161"/>
      <c r="N86" s="161"/>
      <c r="O86" s="161"/>
      <c r="Q86" s="162"/>
    </row>
    <row r="87" spans="1:17" s="157" customFormat="1" ht="18">
      <c r="A87"/>
      <c r="B87"/>
      <c r="C87"/>
      <c r="D87"/>
      <c r="E87"/>
      <c r="F87"/>
      <c r="J87" s="161"/>
      <c r="L87" s="161"/>
      <c r="M87" s="161"/>
      <c r="N87" s="161"/>
      <c r="O87" s="161"/>
      <c r="Q87" s="162"/>
    </row>
    <row r="88" spans="1:17" s="157" customFormat="1" ht="18">
      <c r="A88"/>
      <c r="B88"/>
      <c r="C88"/>
      <c r="D88"/>
      <c r="E88"/>
      <c r="F88"/>
      <c r="J88" s="161"/>
      <c r="L88" s="161"/>
      <c r="M88" s="161"/>
      <c r="N88" s="161"/>
      <c r="O88" s="161"/>
      <c r="Q88" s="162"/>
    </row>
    <row r="89" spans="1:17" s="157" customFormat="1" ht="18">
      <c r="A89"/>
      <c r="B89"/>
      <c r="C89"/>
      <c r="D89"/>
      <c r="E89"/>
      <c r="F89"/>
      <c r="J89" s="161"/>
      <c r="L89" s="161"/>
      <c r="M89" s="161"/>
      <c r="N89" s="161"/>
      <c r="O89" s="161"/>
      <c r="Q89" s="162"/>
    </row>
    <row r="90" spans="1:17" s="157" customFormat="1" ht="18">
      <c r="A90"/>
      <c r="B90"/>
      <c r="C90"/>
      <c r="D90"/>
      <c r="E90"/>
      <c r="F90"/>
      <c r="J90" s="161"/>
      <c r="L90" s="161"/>
      <c r="M90" s="161"/>
      <c r="N90" s="161"/>
      <c r="O90" s="161"/>
      <c r="Q90" s="162"/>
    </row>
    <row r="91" spans="1:17" s="157" customFormat="1" ht="18">
      <c r="A91"/>
      <c r="B91"/>
      <c r="C91"/>
      <c r="D91"/>
      <c r="E91"/>
      <c r="F91"/>
      <c r="J91" s="161"/>
      <c r="L91" s="161"/>
      <c r="M91" s="161"/>
      <c r="N91" s="161"/>
      <c r="O91" s="161"/>
      <c r="Q91" s="162"/>
    </row>
    <row r="92" spans="1:17" s="157" customFormat="1" ht="18">
      <c r="A92"/>
      <c r="B92"/>
      <c r="C92"/>
      <c r="D92"/>
      <c r="E92"/>
      <c r="F92"/>
      <c r="J92" s="161"/>
      <c r="L92" s="161"/>
      <c r="M92" s="161"/>
      <c r="N92" s="161"/>
      <c r="O92" s="161"/>
      <c r="Q92" s="162"/>
    </row>
    <row r="93" spans="1:17" s="157" customFormat="1" ht="18">
      <c r="A93"/>
      <c r="B93"/>
      <c r="C93"/>
      <c r="D93"/>
      <c r="E93"/>
      <c r="F93"/>
      <c r="J93" s="161"/>
      <c r="L93" s="161"/>
      <c r="M93" s="161"/>
      <c r="N93" s="161"/>
      <c r="O93" s="161"/>
      <c r="Q93" s="162"/>
    </row>
    <row r="94" spans="1:17" s="157" customFormat="1" ht="18">
      <c r="A94"/>
      <c r="B94"/>
      <c r="C94"/>
      <c r="D94"/>
      <c r="E94"/>
      <c r="F94"/>
      <c r="J94" s="161"/>
      <c r="L94" s="161"/>
      <c r="M94" s="161"/>
      <c r="N94" s="161"/>
      <c r="O94" s="161"/>
      <c r="Q94" s="162"/>
    </row>
    <row r="95" spans="1:17" s="157" customFormat="1" ht="18">
      <c r="A95"/>
      <c r="B95"/>
      <c r="C95"/>
      <c r="D95"/>
      <c r="E95"/>
      <c r="F95"/>
      <c r="J95" s="161"/>
      <c r="L95" s="161"/>
      <c r="M95" s="161"/>
      <c r="N95" s="161"/>
      <c r="O95" s="161"/>
      <c r="Q95" s="162"/>
    </row>
    <row r="96" spans="1:17" s="157" customFormat="1" ht="18">
      <c r="A96"/>
      <c r="B96"/>
      <c r="C96"/>
      <c r="D96"/>
      <c r="E96"/>
      <c r="F96"/>
      <c r="J96" s="161"/>
      <c r="L96" s="161"/>
      <c r="M96" s="161"/>
      <c r="N96" s="161"/>
      <c r="O96" s="161"/>
      <c r="Q96" s="162"/>
    </row>
    <row r="97" spans="1:17" s="157" customFormat="1" ht="18">
      <c r="A97"/>
      <c r="B97"/>
      <c r="C97"/>
      <c r="D97"/>
      <c r="E97"/>
      <c r="F97"/>
      <c r="J97" s="161"/>
      <c r="L97" s="161"/>
      <c r="M97" s="161"/>
      <c r="N97" s="161"/>
      <c r="O97" s="161"/>
      <c r="Q97" s="162"/>
    </row>
    <row r="98" spans="1:17" s="157" customFormat="1" ht="18">
      <c r="A98"/>
      <c r="B98"/>
      <c r="C98"/>
      <c r="D98"/>
      <c r="E98"/>
      <c r="F98"/>
      <c r="J98" s="161"/>
      <c r="L98" s="161"/>
      <c r="M98" s="161"/>
      <c r="N98" s="161"/>
      <c r="O98" s="161"/>
      <c r="Q98" s="162"/>
    </row>
    <row r="99" spans="1:17" s="157" customFormat="1" ht="18">
      <c r="A99"/>
      <c r="B99"/>
      <c r="C99"/>
      <c r="D99"/>
      <c r="E99"/>
      <c r="F99"/>
      <c r="J99" s="161"/>
      <c r="L99" s="161"/>
      <c r="M99" s="161"/>
      <c r="N99" s="161"/>
      <c r="O99" s="161"/>
      <c r="Q99" s="162"/>
    </row>
    <row r="100" spans="1:17" s="157" customFormat="1" ht="18">
      <c r="A100"/>
      <c r="B100"/>
      <c r="C100"/>
      <c r="D100"/>
      <c r="E100"/>
      <c r="F100"/>
      <c r="J100" s="161"/>
      <c r="L100" s="161"/>
      <c r="M100" s="161"/>
      <c r="N100" s="161"/>
      <c r="O100" s="161"/>
      <c r="Q100" s="162"/>
    </row>
    <row r="101" spans="1:17" s="157" customFormat="1" ht="18">
      <c r="A101"/>
      <c r="B101"/>
      <c r="C101"/>
      <c r="D101"/>
      <c r="E101"/>
      <c r="F101"/>
      <c r="J101" s="161"/>
      <c r="L101" s="161"/>
      <c r="M101" s="161"/>
      <c r="N101" s="161"/>
      <c r="O101" s="161"/>
      <c r="Q101" s="162"/>
    </row>
    <row r="102" spans="1:17" s="157" customFormat="1" ht="18">
      <c r="A102"/>
      <c r="B102"/>
      <c r="C102"/>
      <c r="D102"/>
      <c r="E102"/>
      <c r="F102"/>
      <c r="J102" s="161"/>
      <c r="L102" s="161"/>
      <c r="M102" s="161"/>
      <c r="N102" s="161"/>
      <c r="O102" s="161"/>
      <c r="Q102" s="162"/>
    </row>
    <row r="103" spans="1:17" s="157" customFormat="1" ht="18">
      <c r="A103"/>
      <c r="B103"/>
      <c r="C103"/>
      <c r="D103"/>
      <c r="E103"/>
      <c r="F103"/>
      <c r="J103" s="161"/>
      <c r="L103" s="161"/>
      <c r="M103" s="161"/>
      <c r="N103" s="161"/>
      <c r="O103" s="161"/>
      <c r="Q103" s="162"/>
    </row>
    <row r="104" spans="1:17" s="157" customFormat="1" ht="18">
      <c r="A104"/>
      <c r="B104"/>
      <c r="C104"/>
      <c r="D104"/>
      <c r="E104"/>
      <c r="F104"/>
      <c r="J104" s="161"/>
      <c r="L104" s="161"/>
      <c r="M104" s="161"/>
      <c r="N104" s="161"/>
      <c r="O104" s="161"/>
      <c r="Q104" s="162"/>
    </row>
    <row r="105" spans="1:17" s="157" customFormat="1" ht="18">
      <c r="A105"/>
      <c r="B105"/>
      <c r="C105"/>
      <c r="D105"/>
      <c r="E105"/>
      <c r="F105"/>
      <c r="J105" s="161"/>
      <c r="L105" s="161"/>
      <c r="M105" s="161"/>
      <c r="N105" s="161"/>
      <c r="O105" s="161"/>
      <c r="Q105" s="162"/>
    </row>
    <row r="106" spans="1:17" s="157" customFormat="1" ht="18">
      <c r="A106"/>
      <c r="B106"/>
      <c r="C106"/>
      <c r="D106"/>
      <c r="E106"/>
      <c r="F106"/>
      <c r="J106" s="161"/>
      <c r="L106" s="161"/>
      <c r="M106" s="161"/>
      <c r="N106" s="161"/>
      <c r="O106" s="161"/>
      <c r="Q106" s="162"/>
    </row>
    <row r="107" spans="1:17" s="157" customFormat="1" ht="18">
      <c r="A107"/>
      <c r="B107"/>
      <c r="C107"/>
      <c r="D107"/>
      <c r="E107"/>
      <c r="F107"/>
      <c r="J107" s="161"/>
      <c r="L107" s="161"/>
      <c r="M107" s="161"/>
      <c r="N107" s="161"/>
      <c r="O107" s="161"/>
      <c r="Q107" s="162"/>
    </row>
    <row r="108" spans="1:17" s="157" customFormat="1" ht="18">
      <c r="A108"/>
      <c r="B108"/>
      <c r="C108"/>
      <c r="D108"/>
      <c r="E108"/>
      <c r="F108"/>
      <c r="J108" s="161"/>
      <c r="L108" s="161"/>
      <c r="M108" s="161"/>
      <c r="N108" s="161"/>
      <c r="O108" s="161"/>
      <c r="Q108" s="162"/>
    </row>
    <row r="109" spans="1:17" s="157" customFormat="1" ht="18">
      <c r="A109"/>
      <c r="B109"/>
      <c r="C109"/>
      <c r="D109"/>
      <c r="E109"/>
      <c r="F109"/>
      <c r="J109" s="161"/>
      <c r="L109" s="161"/>
      <c r="M109" s="161"/>
      <c r="N109" s="161"/>
      <c r="O109" s="161"/>
      <c r="Q109" s="162"/>
    </row>
    <row r="110" spans="1:17" s="157" customFormat="1" ht="18">
      <c r="A110"/>
      <c r="B110"/>
      <c r="C110"/>
      <c r="D110"/>
      <c r="E110"/>
      <c r="F110"/>
      <c r="J110" s="161"/>
      <c r="L110" s="161"/>
      <c r="M110" s="161"/>
      <c r="N110" s="161"/>
      <c r="O110" s="161"/>
      <c r="Q110" s="162"/>
    </row>
    <row r="111" spans="1:17" s="157" customFormat="1" ht="18">
      <c r="A111"/>
      <c r="B111"/>
      <c r="C111"/>
      <c r="D111"/>
      <c r="E111"/>
      <c r="F111"/>
      <c r="J111" s="161"/>
      <c r="L111" s="161"/>
      <c r="M111" s="161"/>
      <c r="N111" s="161"/>
      <c r="O111" s="161"/>
      <c r="Q111" s="162"/>
    </row>
    <row r="112" spans="1:17" s="157" customFormat="1" ht="18">
      <c r="A112"/>
      <c r="B112"/>
      <c r="C112"/>
      <c r="D112"/>
      <c r="E112"/>
      <c r="F112"/>
      <c r="J112" s="161"/>
      <c r="L112" s="161"/>
      <c r="M112" s="161"/>
      <c r="N112" s="161"/>
      <c r="O112" s="161"/>
      <c r="Q112" s="162"/>
    </row>
    <row r="113" spans="1:17" s="157" customFormat="1" ht="18">
      <c r="A113"/>
      <c r="B113"/>
      <c r="C113"/>
      <c r="D113"/>
      <c r="E113"/>
      <c r="F113"/>
      <c r="J113" s="161"/>
      <c r="L113" s="161"/>
      <c r="M113" s="161"/>
      <c r="N113" s="161"/>
      <c r="O113" s="161"/>
      <c r="Q113" s="162"/>
    </row>
    <row r="114" spans="1:17" s="157" customFormat="1" ht="18">
      <c r="A114"/>
      <c r="B114"/>
      <c r="C114"/>
      <c r="D114"/>
      <c r="E114"/>
      <c r="F114"/>
      <c r="J114" s="161"/>
      <c r="L114" s="161"/>
      <c r="M114" s="161"/>
      <c r="N114" s="161"/>
      <c r="O114" s="161"/>
      <c r="Q114" s="162"/>
    </row>
    <row r="115" spans="1:17" s="157" customFormat="1" ht="18">
      <c r="A115"/>
      <c r="B115"/>
      <c r="C115"/>
      <c r="D115"/>
      <c r="E115"/>
      <c r="F115"/>
      <c r="J115" s="161"/>
      <c r="L115" s="161"/>
      <c r="M115" s="161"/>
      <c r="N115" s="161"/>
      <c r="O115" s="161"/>
      <c r="Q115" s="162"/>
    </row>
    <row r="116" spans="1:17" s="157" customFormat="1" ht="18">
      <c r="A116"/>
      <c r="B116"/>
      <c r="C116"/>
      <c r="D116"/>
      <c r="E116"/>
      <c r="F116"/>
      <c r="J116" s="161"/>
      <c r="L116" s="161"/>
      <c r="M116" s="161"/>
      <c r="N116" s="161"/>
      <c r="O116" s="161"/>
      <c r="Q116" s="162"/>
    </row>
    <row r="117" spans="1:17" s="157" customFormat="1" ht="18">
      <c r="A117"/>
      <c r="B117"/>
      <c r="C117"/>
      <c r="D117"/>
      <c r="E117"/>
      <c r="F117"/>
      <c r="J117" s="161"/>
      <c r="L117" s="161"/>
      <c r="M117" s="161"/>
      <c r="N117" s="161"/>
      <c r="O117" s="161"/>
      <c r="Q117" s="162"/>
    </row>
    <row r="118" spans="1:17" s="157" customFormat="1" ht="18">
      <c r="A118"/>
      <c r="B118"/>
      <c r="C118"/>
      <c r="D118"/>
      <c r="E118"/>
      <c r="F118"/>
      <c r="J118" s="161"/>
      <c r="L118" s="161"/>
      <c r="M118" s="161"/>
      <c r="N118" s="161"/>
      <c r="O118" s="161"/>
      <c r="Q118" s="162"/>
    </row>
    <row r="119" spans="1:17" s="157" customFormat="1" ht="18">
      <c r="A119"/>
      <c r="B119"/>
      <c r="C119"/>
      <c r="D119"/>
      <c r="E119"/>
      <c r="F119"/>
      <c r="J119" s="161"/>
      <c r="L119" s="161"/>
      <c r="M119" s="161"/>
      <c r="N119" s="161"/>
      <c r="O119" s="161"/>
      <c r="Q119" s="162"/>
    </row>
    <row r="120" spans="1:17" s="157" customFormat="1" ht="18">
      <c r="A120"/>
      <c r="B120"/>
      <c r="C120"/>
      <c r="D120"/>
      <c r="E120"/>
      <c r="F120"/>
      <c r="J120" s="161"/>
      <c r="L120" s="161"/>
      <c r="M120" s="161"/>
      <c r="N120" s="161"/>
      <c r="O120" s="161"/>
      <c r="Q120" s="162"/>
    </row>
    <row r="121" spans="1:17" s="157" customFormat="1" ht="18">
      <c r="A121"/>
      <c r="B121"/>
      <c r="C121"/>
      <c r="D121"/>
      <c r="E121"/>
      <c r="F121"/>
      <c r="J121" s="161"/>
      <c r="L121" s="161"/>
      <c r="M121" s="161"/>
      <c r="N121" s="161"/>
      <c r="O121" s="161"/>
      <c r="Q121" s="162"/>
    </row>
    <row r="122" spans="1:17" s="157" customFormat="1" ht="18">
      <c r="A122"/>
      <c r="B122"/>
      <c r="C122"/>
      <c r="D122"/>
      <c r="E122"/>
      <c r="F122"/>
      <c r="J122" s="161"/>
      <c r="L122" s="161"/>
      <c r="M122" s="161"/>
      <c r="N122" s="161"/>
      <c r="O122" s="161"/>
      <c r="Q122" s="162"/>
    </row>
    <row r="123" spans="1:17" s="157" customFormat="1" ht="18">
      <c r="A123"/>
      <c r="B123"/>
      <c r="C123"/>
      <c r="D123"/>
      <c r="E123"/>
      <c r="F123"/>
      <c r="J123" s="161"/>
      <c r="L123" s="161"/>
      <c r="M123" s="161"/>
      <c r="N123" s="161"/>
      <c r="O123" s="161"/>
      <c r="Q123" s="162"/>
    </row>
    <row r="124" spans="1:17" s="157" customFormat="1" ht="18">
      <c r="A124"/>
      <c r="B124"/>
      <c r="C124"/>
      <c r="D124"/>
      <c r="E124"/>
      <c r="F124"/>
      <c r="J124" s="161"/>
      <c r="L124" s="161"/>
      <c r="M124" s="161"/>
      <c r="N124" s="161"/>
      <c r="O124" s="161"/>
      <c r="Q124" s="162"/>
    </row>
    <row r="125" spans="1:17" s="157" customFormat="1" ht="18">
      <c r="A125"/>
      <c r="B125"/>
      <c r="C125"/>
      <c r="D125"/>
      <c r="E125"/>
      <c r="F125"/>
      <c r="J125" s="161"/>
      <c r="L125" s="161"/>
      <c r="M125" s="161"/>
      <c r="N125" s="161"/>
      <c r="O125" s="161"/>
      <c r="Q125" s="162"/>
    </row>
    <row r="126" spans="1:17" s="157" customFormat="1" ht="18">
      <c r="A126"/>
      <c r="B126"/>
      <c r="C126"/>
      <c r="D126"/>
      <c r="E126"/>
      <c r="F126"/>
      <c r="J126" s="161"/>
      <c r="L126" s="161"/>
      <c r="M126" s="161"/>
      <c r="N126" s="161"/>
      <c r="O126" s="161"/>
      <c r="Q126" s="162"/>
    </row>
    <row r="127" spans="1:17" s="157" customFormat="1" ht="18">
      <c r="A127"/>
      <c r="B127"/>
      <c r="C127"/>
      <c r="D127"/>
      <c r="E127"/>
      <c r="F127"/>
      <c r="J127" s="161"/>
      <c r="L127" s="161"/>
      <c r="M127" s="161"/>
      <c r="N127" s="161"/>
      <c r="O127" s="161"/>
      <c r="Q127" s="162"/>
    </row>
    <row r="128" spans="1:17" s="157" customFormat="1" ht="18">
      <c r="A128"/>
      <c r="B128"/>
      <c r="C128"/>
      <c r="D128"/>
      <c r="E128"/>
      <c r="F128"/>
      <c r="J128" s="161"/>
      <c r="L128" s="161"/>
      <c r="M128" s="161"/>
      <c r="N128" s="161"/>
      <c r="O128" s="161"/>
      <c r="Q128" s="162"/>
    </row>
    <row r="129" spans="1:17" s="157" customFormat="1" ht="18">
      <c r="A129"/>
      <c r="B129"/>
      <c r="C129"/>
      <c r="D129"/>
      <c r="E129"/>
      <c r="F129"/>
      <c r="J129" s="161"/>
      <c r="L129" s="161"/>
      <c r="M129" s="161"/>
      <c r="N129" s="161"/>
      <c r="O129" s="161"/>
      <c r="Q129" s="162"/>
    </row>
    <row r="130" spans="1:17" s="157" customFormat="1" ht="18">
      <c r="A130"/>
      <c r="B130"/>
      <c r="C130"/>
      <c r="D130"/>
      <c r="E130"/>
      <c r="F130"/>
      <c r="J130" s="161"/>
      <c r="L130" s="161"/>
      <c r="M130" s="161"/>
      <c r="N130" s="161"/>
      <c r="O130" s="161"/>
      <c r="Q130" s="162"/>
    </row>
    <row r="131" spans="1:17" s="157" customFormat="1" ht="18">
      <c r="A131"/>
      <c r="B131"/>
      <c r="C131"/>
      <c r="D131"/>
      <c r="E131"/>
      <c r="F131"/>
      <c r="J131" s="161"/>
      <c r="L131" s="161"/>
      <c r="M131" s="161"/>
      <c r="N131" s="161"/>
      <c r="O131" s="161"/>
      <c r="Q131" s="162"/>
    </row>
    <row r="132" spans="1:17" s="157" customFormat="1" ht="18">
      <c r="A132"/>
      <c r="B132"/>
      <c r="C132"/>
      <c r="D132"/>
      <c r="E132"/>
      <c r="F132"/>
      <c r="J132" s="161"/>
      <c r="L132" s="161"/>
      <c r="M132" s="161"/>
      <c r="N132" s="161"/>
      <c r="O132" s="161"/>
      <c r="Q132" s="162"/>
    </row>
    <row r="133" spans="1:17" s="157" customFormat="1" ht="18">
      <c r="A133"/>
      <c r="B133"/>
      <c r="C133"/>
      <c r="D133"/>
      <c r="E133"/>
      <c r="F133"/>
      <c r="J133" s="161"/>
      <c r="L133" s="161"/>
      <c r="M133" s="161"/>
      <c r="N133" s="161"/>
      <c r="O133" s="161"/>
      <c r="Q133" s="162"/>
    </row>
    <row r="134" spans="1:17" s="157" customFormat="1" ht="18">
      <c r="A134"/>
      <c r="B134"/>
      <c r="C134"/>
      <c r="D134"/>
      <c r="E134"/>
      <c r="F134"/>
      <c r="J134" s="161"/>
      <c r="L134" s="161"/>
      <c r="M134" s="161"/>
      <c r="N134" s="161"/>
      <c r="O134" s="161"/>
      <c r="Q134" s="162"/>
    </row>
    <row r="135" spans="1:17" s="157" customFormat="1" ht="18">
      <c r="A135"/>
      <c r="B135"/>
      <c r="C135"/>
      <c r="D135"/>
      <c r="E135"/>
      <c r="F135"/>
      <c r="J135" s="161"/>
      <c r="L135" s="161"/>
      <c r="M135" s="161"/>
      <c r="N135" s="161"/>
      <c r="O135" s="161"/>
      <c r="Q135" s="162"/>
    </row>
    <row r="136" spans="1:17" s="157" customFormat="1" ht="18">
      <c r="A136"/>
      <c r="B136"/>
      <c r="C136"/>
      <c r="D136"/>
      <c r="E136"/>
      <c r="F136"/>
      <c r="J136" s="161"/>
      <c r="L136" s="161"/>
      <c r="M136" s="161"/>
      <c r="N136" s="161"/>
      <c r="O136" s="161"/>
      <c r="Q136" s="162"/>
    </row>
    <row r="137" spans="1:17" s="157" customFormat="1" ht="18">
      <c r="A137"/>
      <c r="B137"/>
      <c r="C137"/>
      <c r="D137"/>
      <c r="E137"/>
      <c r="F137"/>
      <c r="J137" s="161"/>
      <c r="L137" s="161"/>
      <c r="M137" s="161"/>
      <c r="N137" s="161"/>
      <c r="O137" s="161"/>
      <c r="Q137" s="162"/>
    </row>
    <row r="138" spans="1:17" s="157" customFormat="1" ht="18">
      <c r="A138"/>
      <c r="B138"/>
      <c r="C138"/>
      <c r="D138"/>
      <c r="E138"/>
      <c r="F138"/>
      <c r="J138" s="161"/>
      <c r="L138" s="161"/>
      <c r="M138" s="161"/>
      <c r="N138" s="161"/>
      <c r="O138" s="161"/>
      <c r="Q138" s="162"/>
    </row>
    <row r="139" spans="1:17" s="157" customFormat="1" ht="18">
      <c r="A139"/>
      <c r="B139"/>
      <c r="C139"/>
      <c r="D139"/>
      <c r="E139"/>
      <c r="F139"/>
      <c r="J139" s="161"/>
      <c r="L139" s="161"/>
      <c r="M139" s="161"/>
      <c r="N139" s="161"/>
      <c r="O139" s="161"/>
      <c r="Q139" s="162"/>
    </row>
    <row r="140" spans="1:17" s="157" customFormat="1" ht="18">
      <c r="A140"/>
      <c r="B140"/>
      <c r="C140"/>
      <c r="D140"/>
      <c r="E140"/>
      <c r="F140"/>
      <c r="J140" s="161"/>
      <c r="L140" s="161"/>
      <c r="M140" s="161"/>
      <c r="N140" s="161"/>
      <c r="O140" s="161"/>
      <c r="Q140" s="162"/>
    </row>
    <row r="141" spans="1:17" s="157" customFormat="1" ht="18">
      <c r="A141"/>
      <c r="B141"/>
      <c r="C141"/>
      <c r="D141"/>
      <c r="E141"/>
      <c r="F141"/>
      <c r="J141" s="161"/>
      <c r="L141" s="161"/>
      <c r="M141" s="161"/>
      <c r="N141" s="161"/>
      <c r="O141" s="161"/>
      <c r="Q141" s="162"/>
    </row>
    <row r="142" spans="1:17" s="157" customFormat="1" ht="18">
      <c r="A142"/>
      <c r="B142"/>
      <c r="C142"/>
      <c r="D142"/>
      <c r="E142"/>
      <c r="F142"/>
      <c r="J142" s="161"/>
      <c r="L142" s="161"/>
      <c r="M142" s="161"/>
      <c r="N142" s="161"/>
      <c r="O142" s="161"/>
      <c r="Q142" s="162"/>
    </row>
    <row r="143" spans="1:17" s="157" customFormat="1" ht="18">
      <c r="A143"/>
      <c r="B143"/>
      <c r="C143"/>
      <c r="D143"/>
      <c r="E143"/>
      <c r="F143"/>
      <c r="J143" s="161"/>
      <c r="L143" s="161"/>
      <c r="M143" s="161"/>
      <c r="N143" s="161"/>
      <c r="O143" s="161"/>
      <c r="Q143" s="162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="60" zoomScaleNormal="60" zoomScalePageLayoutView="0" workbookViewId="0" topLeftCell="A1">
      <selection activeCell="C6" sqref="C6"/>
    </sheetView>
  </sheetViews>
  <sheetFormatPr defaultColWidth="9.00390625" defaultRowHeight="12.75"/>
  <cols>
    <col min="1" max="1" width="56.25390625" style="0" customWidth="1"/>
    <col min="2" max="6" width="24.00390625" style="0" customWidth="1"/>
  </cols>
  <sheetData>
    <row r="1" spans="1:6" s="70" customFormat="1" ht="23.25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58</v>
      </c>
      <c r="B2" s="239"/>
      <c r="C2" s="239"/>
      <c r="D2" s="241"/>
      <c r="E2" s="241"/>
      <c r="F2" s="241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61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57" customHeight="1">
      <c r="A5" s="82" t="s">
        <v>7</v>
      </c>
      <c r="B5" s="114">
        <f aca="true" t="shared" si="0" ref="B5:B66">C5+D5+E5+F5</f>
        <v>90995.95</v>
      </c>
      <c r="C5" s="210">
        <f>C6+C7</f>
        <v>38658.6</v>
      </c>
      <c r="D5" s="210">
        <f>D6+D7</f>
        <v>1678.073</v>
      </c>
      <c r="E5" s="210">
        <f>E6+E7</f>
        <v>24398.679</v>
      </c>
      <c r="F5" s="211">
        <f>F6+F7</f>
        <v>26260.598</v>
      </c>
    </row>
    <row r="6" spans="1:6" s="2" customFormat="1" ht="27" customHeight="1">
      <c r="A6" s="36" t="s">
        <v>18</v>
      </c>
      <c r="B6" s="34">
        <f t="shared" si="0"/>
        <v>75202.305</v>
      </c>
      <c r="C6" s="40">
        <f>38658.6-C7</f>
        <v>38321.905</v>
      </c>
      <c r="D6" s="40">
        <f>1678.073-D7</f>
        <v>1676.823</v>
      </c>
      <c r="E6" s="40">
        <f>24398.679-E7</f>
        <v>23634.108</v>
      </c>
      <c r="F6" s="228">
        <f>26260.598-F7</f>
        <v>11569.469000000001</v>
      </c>
    </row>
    <row r="7" spans="1:6" s="2" customFormat="1" ht="20.25" customHeight="1">
      <c r="A7" s="36" t="s">
        <v>15</v>
      </c>
      <c r="B7" s="34">
        <f t="shared" si="0"/>
        <v>15793.645</v>
      </c>
      <c r="C7" s="23">
        <f>C8+C9</f>
        <v>336.695</v>
      </c>
      <c r="D7" s="23">
        <f>D8+D9</f>
        <v>1.25</v>
      </c>
      <c r="E7" s="23">
        <f>E8+E9</f>
        <v>764.571</v>
      </c>
      <c r="F7" s="24">
        <f>F8+F9</f>
        <v>14691.129</v>
      </c>
    </row>
    <row r="8" spans="1:6" s="2" customFormat="1" ht="21.75" customHeight="1">
      <c r="A8" s="36" t="s">
        <v>16</v>
      </c>
      <c r="B8" s="34">
        <f t="shared" si="0"/>
        <v>4664.661999999999</v>
      </c>
      <c r="C8" s="206">
        <v>68.927</v>
      </c>
      <c r="D8" s="206"/>
      <c r="E8" s="206">
        <v>146.143</v>
      </c>
      <c r="F8" s="207">
        <v>4449.592</v>
      </c>
    </row>
    <row r="9" spans="1:6" s="2" customFormat="1" ht="24.75" customHeight="1">
      <c r="A9" s="36" t="s">
        <v>17</v>
      </c>
      <c r="B9" s="34">
        <f t="shared" si="0"/>
        <v>11128.983</v>
      </c>
      <c r="C9" s="206">
        <f>336.695-C8</f>
        <v>267.768</v>
      </c>
      <c r="D9" s="206">
        <v>1.25</v>
      </c>
      <c r="E9" s="206">
        <v>618.428</v>
      </c>
      <c r="F9" s="207">
        <v>10241.537</v>
      </c>
    </row>
    <row r="10" spans="1:6" s="2" customFormat="1" ht="47.25" customHeight="1">
      <c r="A10" s="86" t="s">
        <v>13</v>
      </c>
      <c r="B10" s="34">
        <f t="shared" si="0"/>
        <v>6698.877</v>
      </c>
      <c r="C10" s="23">
        <f>C11+C12</f>
        <v>1040.22</v>
      </c>
      <c r="D10" s="23"/>
      <c r="E10" s="23">
        <f>E11+E12</f>
        <v>2460.245</v>
      </c>
      <c r="F10" s="24">
        <f>F11+F12</f>
        <v>3198.412</v>
      </c>
    </row>
    <row r="11" spans="1:6" s="2" customFormat="1" ht="21.75" customHeight="1">
      <c r="A11" s="36" t="s">
        <v>18</v>
      </c>
      <c r="B11" s="34">
        <f t="shared" si="0"/>
        <v>4338.162</v>
      </c>
      <c r="C11" s="8">
        <v>942.323</v>
      </c>
      <c r="D11" s="8"/>
      <c r="E11" s="8">
        <v>2101.297</v>
      </c>
      <c r="F11" s="9">
        <v>1294.542</v>
      </c>
    </row>
    <row r="12" spans="1:6" s="2" customFormat="1" ht="19.5" customHeight="1">
      <c r="A12" s="36" t="s">
        <v>15</v>
      </c>
      <c r="B12" s="34">
        <f t="shared" si="0"/>
        <v>2360.7149999999997</v>
      </c>
      <c r="C12" s="23">
        <f>C13+C14</f>
        <v>97.897</v>
      </c>
      <c r="D12" s="8"/>
      <c r="E12" s="23">
        <f>E13+E14</f>
        <v>358.948</v>
      </c>
      <c r="F12" s="24">
        <f>F13+F14</f>
        <v>1903.87</v>
      </c>
    </row>
    <row r="13" spans="1:6" s="2" customFormat="1" ht="17.25" customHeight="1">
      <c r="A13" s="36" t="s">
        <v>16</v>
      </c>
      <c r="B13" s="34">
        <f t="shared" si="0"/>
        <v>1271.6629999999998</v>
      </c>
      <c r="C13" s="11"/>
      <c r="D13" s="11"/>
      <c r="E13" s="11">
        <v>53.918</v>
      </c>
      <c r="F13" s="12">
        <v>1217.745</v>
      </c>
    </row>
    <row r="14" spans="1:6" s="2" customFormat="1" ht="17.25" customHeight="1">
      <c r="A14" s="36" t="s">
        <v>17</v>
      </c>
      <c r="B14" s="34">
        <f t="shared" si="0"/>
        <v>1089.052</v>
      </c>
      <c r="C14" s="11">
        <v>97.897</v>
      </c>
      <c r="D14" s="11"/>
      <c r="E14" s="11">
        <v>305.03</v>
      </c>
      <c r="F14" s="12">
        <v>686.125</v>
      </c>
    </row>
    <row r="15" spans="1:6" s="2" customFormat="1" ht="35.25" customHeight="1">
      <c r="A15" s="86" t="s">
        <v>6</v>
      </c>
      <c r="B15" s="34">
        <f t="shared" si="0"/>
        <v>1611.203</v>
      </c>
      <c r="C15" s="23">
        <f>C16+C17</f>
        <v>1611.203</v>
      </c>
      <c r="D15" s="8"/>
      <c r="E15" s="8"/>
      <c r="F15" s="24">
        <f>F16+F17</f>
        <v>0</v>
      </c>
    </row>
    <row r="16" spans="1:6" s="2" customFormat="1" ht="19.5" customHeight="1">
      <c r="A16" s="36" t="s">
        <v>18</v>
      </c>
      <c r="B16" s="34">
        <f t="shared" si="0"/>
        <v>1610.319</v>
      </c>
      <c r="C16" s="8">
        <v>1610.319</v>
      </c>
      <c r="D16" s="8"/>
      <c r="E16" s="23"/>
      <c r="F16" s="24"/>
    </row>
    <row r="17" spans="1:6" s="2" customFormat="1" ht="18" customHeight="1">
      <c r="A17" s="36" t="s">
        <v>15</v>
      </c>
      <c r="B17" s="34">
        <f t="shared" si="0"/>
        <v>0.884</v>
      </c>
      <c r="C17" s="23">
        <f>C18+C19</f>
        <v>0.884</v>
      </c>
      <c r="D17" s="8"/>
      <c r="E17" s="23">
        <f>E18+E19</f>
        <v>0</v>
      </c>
      <c r="F17" s="24">
        <f>F18+F19</f>
        <v>0</v>
      </c>
    </row>
    <row r="18" spans="1:6" s="2" customFormat="1" ht="19.5" customHeight="1">
      <c r="A18" s="36" t="s">
        <v>16</v>
      </c>
      <c r="B18" s="34">
        <f t="shared" si="0"/>
        <v>0</v>
      </c>
      <c r="C18" s="208"/>
      <c r="D18" s="208"/>
      <c r="E18" s="208"/>
      <c r="F18" s="209"/>
    </row>
    <row r="19" spans="1:6" s="2" customFormat="1" ht="19.5" customHeight="1">
      <c r="A19" s="36" t="s">
        <v>17</v>
      </c>
      <c r="B19" s="34">
        <f t="shared" si="0"/>
        <v>0.884</v>
      </c>
      <c r="C19" s="208">
        <v>0.884</v>
      </c>
      <c r="D19" s="208"/>
      <c r="E19" s="208"/>
      <c r="F19" s="209"/>
    </row>
    <row r="20" spans="1:6" s="2" customFormat="1" ht="51" customHeight="1">
      <c r="A20" s="86" t="s">
        <v>36</v>
      </c>
      <c r="B20" s="34">
        <f t="shared" si="0"/>
        <v>764.25</v>
      </c>
      <c r="C20" s="23">
        <f>C21+C22</f>
        <v>10.108</v>
      </c>
      <c r="D20" s="23">
        <f>D21+D22</f>
        <v>640.83</v>
      </c>
      <c r="E20" s="23">
        <f>E21+E22</f>
        <v>26.107</v>
      </c>
      <c r="F20" s="24">
        <f>F21+F22</f>
        <v>87.205</v>
      </c>
    </row>
    <row r="21" spans="1:6" s="2" customFormat="1" ht="21.75" customHeight="1">
      <c r="A21" s="36" t="s">
        <v>18</v>
      </c>
      <c r="B21" s="34">
        <f t="shared" si="0"/>
        <v>743.17</v>
      </c>
      <c r="C21" s="8">
        <v>10.108</v>
      </c>
      <c r="D21" s="8">
        <v>640.83</v>
      </c>
      <c r="E21" s="8">
        <v>26.107</v>
      </c>
      <c r="F21" s="9">
        <v>66.125</v>
      </c>
    </row>
    <row r="22" spans="1:6" s="2" customFormat="1" ht="21" customHeight="1">
      <c r="A22" s="36" t="s">
        <v>15</v>
      </c>
      <c r="B22" s="34">
        <f t="shared" si="0"/>
        <v>21.08</v>
      </c>
      <c r="C22" s="23">
        <f>C23+C24</f>
        <v>0</v>
      </c>
      <c r="D22" s="8"/>
      <c r="E22" s="23">
        <f>E23+E24</f>
        <v>0</v>
      </c>
      <c r="F22" s="24">
        <f>F23+F24</f>
        <v>21.08</v>
      </c>
    </row>
    <row r="23" spans="1:6" s="2" customFormat="1" ht="21.75" customHeight="1">
      <c r="A23" s="36" t="s">
        <v>16</v>
      </c>
      <c r="B23" s="34">
        <f t="shared" si="0"/>
        <v>21.08</v>
      </c>
      <c r="C23" s="208"/>
      <c r="D23" s="208"/>
      <c r="E23" s="11"/>
      <c r="F23" s="12">
        <v>21.08</v>
      </c>
    </row>
    <row r="24" spans="1:6" s="2" customFormat="1" ht="21" customHeight="1">
      <c r="A24" s="36" t="s">
        <v>17</v>
      </c>
      <c r="B24" s="34">
        <f t="shared" si="0"/>
        <v>0</v>
      </c>
      <c r="C24" s="208"/>
      <c r="D24" s="208"/>
      <c r="E24" s="208"/>
      <c r="F24" s="209"/>
    </row>
    <row r="25" spans="1:6" s="2" customFormat="1" ht="41.25" customHeight="1">
      <c r="A25" s="86" t="s">
        <v>8</v>
      </c>
      <c r="B25" s="34">
        <f t="shared" si="0"/>
        <v>12569.670000000002</v>
      </c>
      <c r="C25" s="23">
        <f>C26+C27</f>
        <v>6111.68</v>
      </c>
      <c r="D25" s="23">
        <f>D26+D27</f>
        <v>0</v>
      </c>
      <c r="E25" s="23">
        <f>E26+E27</f>
        <v>2458.166</v>
      </c>
      <c r="F25" s="24">
        <f>F26+F27</f>
        <v>3999.8239999999996</v>
      </c>
    </row>
    <row r="26" spans="1:6" s="2" customFormat="1" ht="19.5" customHeight="1">
      <c r="A26" s="36" t="s">
        <v>18</v>
      </c>
      <c r="B26" s="34">
        <f t="shared" si="0"/>
        <v>9944.036</v>
      </c>
      <c r="C26" s="8">
        <v>6111.68</v>
      </c>
      <c r="D26" s="8"/>
      <c r="E26" s="8">
        <v>2396.858</v>
      </c>
      <c r="F26" s="9">
        <v>1435.498</v>
      </c>
    </row>
    <row r="27" spans="1:6" s="2" customFormat="1" ht="24.75" customHeight="1">
      <c r="A27" s="36" t="s">
        <v>15</v>
      </c>
      <c r="B27" s="34">
        <f t="shared" si="0"/>
        <v>2625.6339999999996</v>
      </c>
      <c r="C27" s="23">
        <f>C28+C29</f>
        <v>0</v>
      </c>
      <c r="D27" s="8"/>
      <c r="E27" s="23">
        <f>E28+E29</f>
        <v>61.308</v>
      </c>
      <c r="F27" s="24">
        <f>F28+F29</f>
        <v>2564.3259999999996</v>
      </c>
    </row>
    <row r="28" spans="1:6" s="2" customFormat="1" ht="25.5" customHeight="1">
      <c r="A28" s="36" t="s">
        <v>16</v>
      </c>
      <c r="B28" s="34">
        <f t="shared" si="0"/>
        <v>2594.0849999999996</v>
      </c>
      <c r="C28" s="208"/>
      <c r="D28" s="208"/>
      <c r="E28" s="11">
        <v>61.308</v>
      </c>
      <c r="F28" s="12">
        <f>2428.144+104.633</f>
        <v>2532.7769999999996</v>
      </c>
    </row>
    <row r="29" spans="1:6" s="2" customFormat="1" ht="20.25" customHeight="1">
      <c r="A29" s="36" t="s">
        <v>17</v>
      </c>
      <c r="B29" s="34">
        <f t="shared" si="0"/>
        <v>31.549</v>
      </c>
      <c r="C29" s="208"/>
      <c r="D29" s="208"/>
      <c r="E29" s="11"/>
      <c r="F29" s="12">
        <v>31.549</v>
      </c>
    </row>
    <row r="30" spans="1:6" s="2" customFormat="1" ht="50.25" customHeight="1">
      <c r="A30" s="86" t="s">
        <v>9</v>
      </c>
      <c r="B30" s="34">
        <f t="shared" si="0"/>
        <v>130.81</v>
      </c>
      <c r="C30" s="208"/>
      <c r="D30" s="208"/>
      <c r="E30" s="23">
        <f>E31+E32</f>
        <v>89.627</v>
      </c>
      <c r="F30" s="24">
        <f>F31+F32</f>
        <v>41.183</v>
      </c>
    </row>
    <row r="31" spans="1:6" s="2" customFormat="1" ht="22.5" customHeight="1">
      <c r="A31" s="36" t="s">
        <v>18</v>
      </c>
      <c r="B31" s="34">
        <f t="shared" si="0"/>
        <v>103.356</v>
      </c>
      <c r="C31" s="8"/>
      <c r="D31" s="8"/>
      <c r="E31" s="8">
        <v>89.627</v>
      </c>
      <c r="F31" s="9">
        <v>13.729</v>
      </c>
    </row>
    <row r="32" spans="1:6" s="2" customFormat="1" ht="24.75" customHeight="1">
      <c r="A32" s="36" t="s">
        <v>15</v>
      </c>
      <c r="B32" s="34">
        <f t="shared" si="0"/>
        <v>27.454</v>
      </c>
      <c r="C32" s="8"/>
      <c r="D32" s="8"/>
      <c r="E32" s="23">
        <f>E33+E34</f>
        <v>0</v>
      </c>
      <c r="F32" s="24">
        <f>F33+F34</f>
        <v>27.454</v>
      </c>
    </row>
    <row r="33" spans="1:6" s="2" customFormat="1" ht="18" customHeight="1">
      <c r="A33" s="36" t="s">
        <v>16</v>
      </c>
      <c r="B33" s="34">
        <f t="shared" si="0"/>
        <v>22.598</v>
      </c>
      <c r="C33" s="208"/>
      <c r="D33" s="208"/>
      <c r="E33" s="208"/>
      <c r="F33" s="12">
        <v>22.598</v>
      </c>
    </row>
    <row r="34" spans="1:6" s="2" customFormat="1" ht="18" customHeight="1">
      <c r="A34" s="36" t="s">
        <v>17</v>
      </c>
      <c r="B34" s="34">
        <f t="shared" si="0"/>
        <v>4.856</v>
      </c>
      <c r="C34" s="208"/>
      <c r="D34" s="208"/>
      <c r="E34" s="208"/>
      <c r="F34" s="12">
        <v>4.856</v>
      </c>
    </row>
    <row r="35" spans="1:6" s="2" customFormat="1" ht="25.5" customHeight="1">
      <c r="A35" s="86" t="s">
        <v>32</v>
      </c>
      <c r="B35" s="34">
        <f t="shared" si="0"/>
        <v>191.864</v>
      </c>
      <c r="C35" s="23">
        <f>C36+C37</f>
        <v>127.688</v>
      </c>
      <c r="D35" s="208"/>
      <c r="E35" s="23">
        <f>E36+E37</f>
        <v>64.176</v>
      </c>
      <c r="F35" s="24">
        <f>F36+F37</f>
        <v>0</v>
      </c>
    </row>
    <row r="36" spans="1:6" s="2" customFormat="1" ht="23.25" customHeight="1">
      <c r="A36" s="36" t="s">
        <v>18</v>
      </c>
      <c r="B36" s="34">
        <f t="shared" si="0"/>
        <v>179.409</v>
      </c>
      <c r="C36" s="8">
        <v>127.688</v>
      </c>
      <c r="D36" s="8"/>
      <c r="E36" s="8">
        <v>51.721</v>
      </c>
      <c r="F36" s="9"/>
    </row>
    <row r="37" spans="1:6" s="2" customFormat="1" ht="23.25" customHeight="1">
      <c r="A37" s="36" t="s">
        <v>15</v>
      </c>
      <c r="B37" s="34">
        <f t="shared" si="0"/>
        <v>12.455</v>
      </c>
      <c r="C37" s="23">
        <f>C38+C39</f>
        <v>0</v>
      </c>
      <c r="D37" s="8"/>
      <c r="E37" s="23">
        <f>E38+E39</f>
        <v>12.455</v>
      </c>
      <c r="F37" s="24">
        <f>F38+F39</f>
        <v>0</v>
      </c>
    </row>
    <row r="38" spans="1:6" s="2" customFormat="1" ht="23.25" customHeight="1">
      <c r="A38" s="36" t="s">
        <v>16</v>
      </c>
      <c r="B38" s="34">
        <f t="shared" si="0"/>
        <v>0</v>
      </c>
      <c r="C38" s="208"/>
      <c r="D38" s="208"/>
      <c r="E38" s="208"/>
      <c r="F38" s="12"/>
    </row>
    <row r="39" spans="1:6" s="2" customFormat="1" ht="23.25" customHeight="1">
      <c r="A39" s="36" t="s">
        <v>17</v>
      </c>
      <c r="B39" s="34">
        <f t="shared" si="0"/>
        <v>12.455</v>
      </c>
      <c r="C39" s="208"/>
      <c r="D39" s="208"/>
      <c r="E39" s="208">
        <v>12.455</v>
      </c>
      <c r="F39" s="12"/>
    </row>
    <row r="40" spans="1:6" s="2" customFormat="1" ht="42" customHeight="1">
      <c r="A40" s="86" t="s">
        <v>33</v>
      </c>
      <c r="B40" s="34">
        <f t="shared" si="0"/>
        <v>53.564</v>
      </c>
      <c r="C40" s="23">
        <f>C41+C42</f>
        <v>2.397</v>
      </c>
      <c r="D40" s="208"/>
      <c r="E40" s="23">
        <f>E41+E42</f>
        <v>51.167</v>
      </c>
      <c r="F40" s="24">
        <f>F41+F42</f>
        <v>0</v>
      </c>
    </row>
    <row r="41" spans="1:6" s="2" customFormat="1" ht="19.5" customHeight="1">
      <c r="A41" s="36" t="s">
        <v>18</v>
      </c>
      <c r="B41" s="34">
        <f t="shared" si="0"/>
        <v>53.564</v>
      </c>
      <c r="C41" s="8">
        <v>2.397</v>
      </c>
      <c r="D41" s="8"/>
      <c r="E41" s="8">
        <v>51.167</v>
      </c>
      <c r="F41" s="9"/>
    </row>
    <row r="42" spans="1:6" s="2" customFormat="1" ht="19.5" customHeight="1">
      <c r="A42" s="36" t="s">
        <v>15</v>
      </c>
      <c r="B42" s="34">
        <f t="shared" si="0"/>
        <v>0</v>
      </c>
      <c r="C42" s="8"/>
      <c r="D42" s="8"/>
      <c r="E42" s="23">
        <f>E43+E44</f>
        <v>0</v>
      </c>
      <c r="F42" s="24">
        <f>F43+F44</f>
        <v>0</v>
      </c>
    </row>
    <row r="43" spans="1:6" s="2" customFormat="1" ht="19.5" customHeight="1">
      <c r="A43" s="36" t="s">
        <v>16</v>
      </c>
      <c r="B43" s="34">
        <f t="shared" si="0"/>
        <v>0</v>
      </c>
      <c r="C43" s="208"/>
      <c r="D43" s="208"/>
      <c r="E43" s="208"/>
      <c r="F43" s="12"/>
    </row>
    <row r="44" spans="1:6" s="2" customFormat="1" ht="19.5" customHeight="1">
      <c r="A44" s="36" t="s">
        <v>17</v>
      </c>
      <c r="B44" s="34">
        <f t="shared" si="0"/>
        <v>0</v>
      </c>
      <c r="C44" s="208"/>
      <c r="D44" s="208"/>
      <c r="E44" s="208"/>
      <c r="F44" s="12"/>
    </row>
    <row r="45" spans="1:6" s="2" customFormat="1" ht="24.75" customHeight="1">
      <c r="A45" s="86" t="s">
        <v>10</v>
      </c>
      <c r="B45" s="34">
        <f t="shared" si="0"/>
        <v>1093.253</v>
      </c>
      <c r="C45" s="8"/>
      <c r="D45" s="8"/>
      <c r="E45" s="23">
        <f>E46+E47</f>
        <v>450.431</v>
      </c>
      <c r="F45" s="24">
        <f>F46+F47</f>
        <v>642.822</v>
      </c>
    </row>
    <row r="46" spans="1:6" s="2" customFormat="1" ht="24.75" customHeight="1">
      <c r="A46" s="36" t="s">
        <v>18</v>
      </c>
      <c r="B46" s="34">
        <f t="shared" si="0"/>
        <v>603.95</v>
      </c>
      <c r="C46" s="8"/>
      <c r="D46" s="8"/>
      <c r="E46" s="8">
        <v>423.233</v>
      </c>
      <c r="F46" s="9">
        <v>180.717</v>
      </c>
    </row>
    <row r="47" spans="1:6" s="2" customFormat="1" ht="24.75" customHeight="1">
      <c r="A47" s="36" t="s">
        <v>15</v>
      </c>
      <c r="B47" s="34">
        <f t="shared" si="0"/>
        <v>489.30299999999994</v>
      </c>
      <c r="C47" s="8"/>
      <c r="D47" s="8"/>
      <c r="E47" s="23">
        <f>E48+E49</f>
        <v>27.198</v>
      </c>
      <c r="F47" s="24">
        <f>F48+F49</f>
        <v>462.10499999999996</v>
      </c>
    </row>
    <row r="48" spans="1:6" s="2" customFormat="1" ht="24.75" customHeight="1">
      <c r="A48" s="36" t="s">
        <v>16</v>
      </c>
      <c r="B48" s="34">
        <f t="shared" si="0"/>
        <v>384.99899999999997</v>
      </c>
      <c r="C48" s="8"/>
      <c r="D48" s="8"/>
      <c r="E48" s="11">
        <v>25.95</v>
      </c>
      <c r="F48" s="12">
        <f>331.929+27.12</f>
        <v>359.049</v>
      </c>
    </row>
    <row r="49" spans="1:6" s="2" customFormat="1" ht="24.75" customHeight="1">
      <c r="A49" s="36" t="s">
        <v>17</v>
      </c>
      <c r="B49" s="34">
        <f t="shared" si="0"/>
        <v>104.304</v>
      </c>
      <c r="C49" s="8"/>
      <c r="D49" s="8"/>
      <c r="E49" s="11">
        <v>1.248</v>
      </c>
      <c r="F49" s="12">
        <v>103.056</v>
      </c>
    </row>
    <row r="50" spans="1:6" s="2" customFormat="1" ht="24.75" customHeight="1">
      <c r="A50" s="86" t="s">
        <v>5</v>
      </c>
      <c r="B50" s="34">
        <f t="shared" si="0"/>
        <v>3161.8289999999997</v>
      </c>
      <c r="C50" s="23">
        <f>C51+C52</f>
        <v>362.767</v>
      </c>
      <c r="D50" s="208"/>
      <c r="E50" s="23">
        <f>E51+E52</f>
        <v>1794.534</v>
      </c>
      <c r="F50" s="24">
        <f>F51+F52</f>
        <v>1004.528</v>
      </c>
    </row>
    <row r="51" spans="1:6" s="2" customFormat="1" ht="24.75" customHeight="1">
      <c r="A51" s="36" t="s">
        <v>18</v>
      </c>
      <c r="B51" s="34">
        <f t="shared" si="0"/>
        <v>1955.1290000000001</v>
      </c>
      <c r="C51" s="23">
        <v>362.767</v>
      </c>
      <c r="D51" s="23"/>
      <c r="E51" s="8">
        <v>1187.65</v>
      </c>
      <c r="F51" s="9">
        <v>404.712</v>
      </c>
    </row>
    <row r="52" spans="1:6" s="2" customFormat="1" ht="24.75" customHeight="1">
      <c r="A52" s="36" t="s">
        <v>15</v>
      </c>
      <c r="B52" s="34">
        <f t="shared" si="0"/>
        <v>1206.7000000000003</v>
      </c>
      <c r="C52" s="8"/>
      <c r="D52" s="8"/>
      <c r="E52" s="23">
        <f>E53+E54</f>
        <v>606.8840000000001</v>
      </c>
      <c r="F52" s="24">
        <f>F53+F54</f>
        <v>599.816</v>
      </c>
    </row>
    <row r="53" spans="1:6" s="2" customFormat="1" ht="24.75" customHeight="1">
      <c r="A53" s="36" t="s">
        <v>16</v>
      </c>
      <c r="B53" s="34">
        <f t="shared" si="0"/>
        <v>1199.2600000000002</v>
      </c>
      <c r="C53" s="208"/>
      <c r="D53" s="208"/>
      <c r="E53" s="11">
        <f>573.148+26.296</f>
        <v>599.4440000000001</v>
      </c>
      <c r="F53" s="12">
        <v>599.816</v>
      </c>
    </row>
    <row r="54" spans="1:6" s="2" customFormat="1" ht="24.75" customHeight="1">
      <c r="A54" s="36" t="s">
        <v>17</v>
      </c>
      <c r="B54" s="34">
        <f t="shared" si="0"/>
        <v>7.44</v>
      </c>
      <c r="C54" s="208"/>
      <c r="D54" s="208"/>
      <c r="E54" s="11">
        <v>7.44</v>
      </c>
      <c r="F54" s="209"/>
    </row>
    <row r="55" spans="1:6" s="2" customFormat="1" ht="50.25" customHeight="1">
      <c r="A55" s="86" t="s">
        <v>11</v>
      </c>
      <c r="B55" s="34">
        <f t="shared" si="0"/>
        <v>6403.878</v>
      </c>
      <c r="C55" s="8"/>
      <c r="D55" s="8"/>
      <c r="E55" s="23">
        <f>E56+E57</f>
        <v>1480.835</v>
      </c>
      <c r="F55" s="24">
        <f>F56+F57</f>
        <v>4923.043</v>
      </c>
    </row>
    <row r="56" spans="1:6" s="2" customFormat="1" ht="26.25" customHeight="1">
      <c r="A56" s="36" t="s">
        <v>18</v>
      </c>
      <c r="B56" s="34">
        <f t="shared" si="0"/>
        <v>3301.874</v>
      </c>
      <c r="C56" s="8"/>
      <c r="D56" s="8"/>
      <c r="E56" s="23">
        <v>1427.296</v>
      </c>
      <c r="F56" s="24">
        <v>1874.578</v>
      </c>
    </row>
    <row r="57" spans="1:6" s="2" customFormat="1" ht="26.25" customHeight="1">
      <c r="A57" s="36" t="s">
        <v>15</v>
      </c>
      <c r="B57" s="34">
        <f t="shared" si="0"/>
        <v>3102.0040000000004</v>
      </c>
      <c r="C57" s="8"/>
      <c r="D57" s="8"/>
      <c r="E57" s="23">
        <f>E58+E59</f>
        <v>53.539</v>
      </c>
      <c r="F57" s="24">
        <f>F58+F59</f>
        <v>3048.465</v>
      </c>
    </row>
    <row r="58" spans="1:6" s="2" customFormat="1" ht="26.25" customHeight="1">
      <c r="A58" s="36" t="s">
        <v>16</v>
      </c>
      <c r="B58" s="34">
        <f t="shared" si="0"/>
        <v>734.728</v>
      </c>
      <c r="C58" s="8"/>
      <c r="D58" s="8"/>
      <c r="E58" s="11">
        <v>25.976</v>
      </c>
      <c r="F58" s="12">
        <v>708.752</v>
      </c>
    </row>
    <row r="59" spans="1:6" s="2" customFormat="1" ht="26.25" customHeight="1">
      <c r="A59" s="36" t="s">
        <v>17</v>
      </c>
      <c r="B59" s="34">
        <f t="shared" si="0"/>
        <v>2367.2760000000003</v>
      </c>
      <c r="C59" s="8"/>
      <c r="D59" s="8"/>
      <c r="E59" s="11">
        <v>27.563</v>
      </c>
      <c r="F59" s="12">
        <v>2339.713</v>
      </c>
    </row>
    <row r="60" spans="1:6" s="2" customFormat="1" ht="24.75" customHeight="1">
      <c r="A60" s="87" t="s">
        <v>39</v>
      </c>
      <c r="B60" s="34">
        <f t="shared" si="0"/>
        <v>153.601</v>
      </c>
      <c r="C60" s="8"/>
      <c r="D60" s="8"/>
      <c r="E60" s="8">
        <f>E61+E62</f>
        <v>66.366</v>
      </c>
      <c r="F60" s="9">
        <f>F61+F62</f>
        <v>87.235</v>
      </c>
    </row>
    <row r="61" spans="1:6" s="2" customFormat="1" ht="21.75" customHeight="1">
      <c r="A61" s="36" t="s">
        <v>18</v>
      </c>
      <c r="B61" s="34">
        <f t="shared" si="0"/>
        <v>153.601</v>
      </c>
      <c r="C61" s="8"/>
      <c r="D61" s="8"/>
      <c r="E61" s="23">
        <v>66.366</v>
      </c>
      <c r="F61" s="24">
        <v>87.235</v>
      </c>
    </row>
    <row r="62" spans="1:6" s="2" customFormat="1" ht="16.5" customHeight="1">
      <c r="A62" s="36" t="s">
        <v>15</v>
      </c>
      <c r="B62" s="34">
        <f t="shared" si="0"/>
        <v>0</v>
      </c>
      <c r="C62" s="8"/>
      <c r="D62" s="8"/>
      <c r="E62" s="23">
        <f>E63+E64</f>
        <v>0</v>
      </c>
      <c r="F62" s="24">
        <f>F63+F64</f>
        <v>0</v>
      </c>
    </row>
    <row r="63" spans="1:6" s="2" customFormat="1" ht="18" customHeight="1">
      <c r="A63" s="36" t="s">
        <v>16</v>
      </c>
      <c r="B63" s="34">
        <f t="shared" si="0"/>
        <v>0</v>
      </c>
      <c r="C63" s="8"/>
      <c r="D63" s="8"/>
      <c r="E63" s="8"/>
      <c r="F63" s="9"/>
    </row>
    <row r="64" spans="1:6" s="2" customFormat="1" ht="18" customHeight="1">
      <c r="A64" s="36" t="s">
        <v>17</v>
      </c>
      <c r="B64" s="34">
        <f t="shared" si="0"/>
        <v>0</v>
      </c>
      <c r="C64" s="8"/>
      <c r="D64" s="8"/>
      <c r="E64" s="8"/>
      <c r="F64" s="9"/>
    </row>
    <row r="65" spans="1:6" s="2" customFormat="1" ht="24.75" customHeight="1">
      <c r="A65" s="87" t="s">
        <v>4</v>
      </c>
      <c r="B65" s="34">
        <f t="shared" si="0"/>
        <v>892.551</v>
      </c>
      <c r="C65" s="8">
        <f>C66+C67</f>
        <v>892.551</v>
      </c>
      <c r="D65" s="8"/>
      <c r="E65" s="8"/>
      <c r="F65" s="9"/>
    </row>
    <row r="66" spans="1:6" s="2" customFormat="1" ht="21.75" customHeight="1">
      <c r="A66" s="36" t="s">
        <v>18</v>
      </c>
      <c r="B66" s="34">
        <f t="shared" si="0"/>
        <v>892.551</v>
      </c>
      <c r="C66" s="23">
        <v>892.551</v>
      </c>
      <c r="D66" s="8"/>
      <c r="E66" s="23"/>
      <c r="F66" s="24"/>
    </row>
    <row r="67" spans="1:6" s="2" customFormat="1" ht="18" customHeight="1">
      <c r="A67" s="36" t="s">
        <v>15</v>
      </c>
      <c r="B67" s="5">
        <f>C67+D67+E67+F67</f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</row>
    <row r="68" spans="1:6" s="2" customFormat="1" ht="19.5" customHeight="1">
      <c r="A68" s="36" t="s">
        <v>16</v>
      </c>
      <c r="B68" s="5">
        <f>C68+D68+E68+F68</f>
        <v>0</v>
      </c>
      <c r="C68" s="11"/>
      <c r="D68" s="8"/>
      <c r="E68" s="8"/>
      <c r="F68" s="9"/>
    </row>
    <row r="69" spans="1:6" s="2" customFormat="1" ht="19.5" customHeight="1" thickBot="1">
      <c r="A69" s="37" t="s">
        <v>17</v>
      </c>
      <c r="B69" s="72">
        <f>C69+D69+E69+F69</f>
        <v>0</v>
      </c>
      <c r="C69" s="16"/>
      <c r="D69" s="15"/>
      <c r="E69" s="15"/>
      <c r="F69" s="20"/>
    </row>
    <row r="70" spans="1:6" s="6" customFormat="1" ht="25.5" customHeight="1">
      <c r="A70" s="140" t="s">
        <v>26</v>
      </c>
      <c r="B70" s="95">
        <f>C70+D70+E70+F70</f>
        <v>741.634</v>
      </c>
      <c r="C70" s="224"/>
      <c r="D70" s="224"/>
      <c r="E70" s="224">
        <v>741.634</v>
      </c>
      <c r="F70" s="225"/>
    </row>
    <row r="71" spans="1:6" s="3" customFormat="1" ht="18">
      <c r="A71" s="54" t="s">
        <v>27</v>
      </c>
      <c r="B71" s="5">
        <f aca="true" t="shared" si="1" ref="B71:B78">C71+D71+E71+F71</f>
        <v>66.165</v>
      </c>
      <c r="C71" s="215"/>
      <c r="D71" s="215"/>
      <c r="E71" s="215">
        <v>66.165</v>
      </c>
      <c r="F71" s="216"/>
    </row>
    <row r="72" spans="1:6" s="3" customFormat="1" ht="18">
      <c r="A72" s="54" t="s">
        <v>34</v>
      </c>
      <c r="B72" s="5">
        <f t="shared" si="1"/>
        <v>723.067</v>
      </c>
      <c r="C72" s="215"/>
      <c r="D72" s="215"/>
      <c r="E72" s="215">
        <v>630.821</v>
      </c>
      <c r="F72" s="216">
        <v>92.246</v>
      </c>
    </row>
    <row r="73" spans="1:6" s="70" customFormat="1" ht="23.25" customHeight="1">
      <c r="A73" s="62" t="s">
        <v>35</v>
      </c>
      <c r="B73" s="5">
        <f t="shared" si="1"/>
        <v>1983.8300000000002</v>
      </c>
      <c r="C73" s="219">
        <v>1968.43</v>
      </c>
      <c r="D73" s="219"/>
      <c r="E73" s="219"/>
      <c r="F73" s="220">
        <v>15.4</v>
      </c>
    </row>
    <row r="74" spans="1:6" s="70" customFormat="1" ht="23.25" customHeight="1">
      <c r="A74" s="54" t="s">
        <v>28</v>
      </c>
      <c r="B74" s="5">
        <f t="shared" si="1"/>
        <v>852.754</v>
      </c>
      <c r="C74" s="215">
        <v>552.816</v>
      </c>
      <c r="D74" s="215"/>
      <c r="E74" s="215">
        <v>148.016</v>
      </c>
      <c r="F74" s="216">
        <v>151.922</v>
      </c>
    </row>
    <row r="75" spans="1:6" s="70" customFormat="1" ht="23.25" customHeight="1">
      <c r="A75" s="62" t="s">
        <v>29</v>
      </c>
      <c r="B75" s="104">
        <f t="shared" si="1"/>
        <v>655.427</v>
      </c>
      <c r="C75" s="215"/>
      <c r="D75" s="215"/>
      <c r="E75" s="215">
        <v>655.427</v>
      </c>
      <c r="F75" s="216"/>
    </row>
    <row r="76" spans="1:6" s="70" customFormat="1" ht="23.25" customHeight="1">
      <c r="A76" s="105" t="s">
        <v>30</v>
      </c>
      <c r="B76" s="104">
        <f t="shared" si="1"/>
        <v>74.562</v>
      </c>
      <c r="C76" s="215"/>
      <c r="D76" s="215"/>
      <c r="E76" s="215"/>
      <c r="F76" s="216">
        <v>74.562</v>
      </c>
    </row>
    <row r="77" spans="1:6" s="70" customFormat="1" ht="23.25" customHeight="1" thickBot="1">
      <c r="A77" s="106" t="s">
        <v>31</v>
      </c>
      <c r="B77" s="107">
        <f t="shared" si="1"/>
        <v>289.256</v>
      </c>
      <c r="C77" s="226"/>
      <c r="D77" s="226"/>
      <c r="E77" s="226">
        <v>14.623</v>
      </c>
      <c r="F77" s="227">
        <v>274.633</v>
      </c>
    </row>
    <row r="78" spans="1:6" s="70" customFormat="1" ht="23.25" customHeight="1" thickBot="1">
      <c r="A78" s="110" t="s">
        <v>40</v>
      </c>
      <c r="B78" s="88">
        <f t="shared" si="1"/>
        <v>130107.99500000001</v>
      </c>
      <c r="C78" s="89">
        <f>C5+C10+C15+C20+C25+C30+C35+C40+C45+C50+C55+C60+C65+C70+C71+C72+C73+C74+C75+C76+C77</f>
        <v>51338.46</v>
      </c>
      <c r="D78" s="89">
        <f>D5+D10+D15+D20+D25+D30+D35+D40+D45+D50+D55+D60+D65+D70+D71+D72+D73+D74+D75+D76+D77</f>
        <v>2318.9030000000002</v>
      </c>
      <c r="E78" s="89">
        <f>E5+E10+E15+E20+E25+E30+E35+E40+E45+E50+E55+E60+E65+E70+E71+E72+E73+E74+E75+E76+E77</f>
        <v>35597.019000000015</v>
      </c>
      <c r="F78" s="89">
        <f>F5+F10+F15+F20+F25+F30+F35+F40+F45+F50+F55+F60+F65+F70+F71+F72+F73+F74+F75+F76+F77</f>
        <v>40853.613</v>
      </c>
    </row>
    <row r="79" spans="1:6" s="70" customFormat="1" ht="23.25" customHeight="1">
      <c r="A79" s="3"/>
      <c r="B79" s="3"/>
      <c r="C79" s="3"/>
      <c r="D79" s="3"/>
      <c r="E79" s="3"/>
      <c r="F79" s="3"/>
    </row>
    <row r="80" spans="1:6" s="70" customFormat="1" ht="23.25" customHeight="1">
      <c r="A80" s="3"/>
      <c r="B80" s="3"/>
      <c r="C80" s="3"/>
      <c r="D80" s="3"/>
      <c r="E80" s="3"/>
      <c r="F80" s="3"/>
    </row>
    <row r="81" spans="1:6" s="70" customFormat="1" ht="33" customHeight="1">
      <c r="A81" s="3"/>
      <c r="B81" s="3"/>
      <c r="C81" s="3"/>
      <c r="D81" s="3"/>
      <c r="E81" s="3"/>
      <c r="F81" s="3"/>
    </row>
    <row r="82" spans="1:6" s="70" customFormat="1" ht="38.25" customHeight="1">
      <c r="A82" s="3"/>
      <c r="B82" s="3"/>
      <c r="C82" s="3"/>
      <c r="D82" s="3"/>
      <c r="E82" s="3"/>
      <c r="F82" s="3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60" zoomScaleNormal="60" zoomScalePageLayoutView="0" workbookViewId="0" topLeftCell="A1">
      <selection activeCell="C7" sqref="C7"/>
    </sheetView>
  </sheetViews>
  <sheetFormatPr defaultColWidth="9.00390625" defaultRowHeight="12.75"/>
  <cols>
    <col min="1" max="1" width="56.25390625" style="0" customWidth="1"/>
    <col min="2" max="6" width="24.00390625" style="0" customWidth="1"/>
  </cols>
  <sheetData>
    <row r="1" spans="1:6" s="70" customFormat="1" ht="23.25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59</v>
      </c>
      <c r="B2" s="239"/>
      <c r="C2" s="239"/>
      <c r="D2" s="241"/>
      <c r="E2" s="241"/>
      <c r="F2" s="241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60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57" customHeight="1">
      <c r="A5" s="82" t="s">
        <v>7</v>
      </c>
      <c r="B5" s="114">
        <f aca="true" t="shared" si="0" ref="B5:B69">C5+D5+E5+F5</f>
        <v>95423.92199999999</v>
      </c>
      <c r="C5" s="210">
        <f>C6+C7</f>
        <v>39655.922999999995</v>
      </c>
      <c r="D5" s="210">
        <f>D6+D7</f>
        <v>1517.2469999999998</v>
      </c>
      <c r="E5" s="210">
        <f>E6+E7</f>
        <v>26268.002</v>
      </c>
      <c r="F5" s="211">
        <f>F6+F7</f>
        <v>27982.75</v>
      </c>
    </row>
    <row r="6" spans="1:6" s="2" customFormat="1" ht="27" customHeight="1">
      <c r="A6" s="36" t="s">
        <v>18</v>
      </c>
      <c r="B6" s="34">
        <f t="shared" si="0"/>
        <v>79016.44499999999</v>
      </c>
      <c r="C6" s="8">
        <f>42338.719-3000</f>
        <v>39338.719</v>
      </c>
      <c r="D6" s="8">
        <v>1515.937</v>
      </c>
      <c r="E6" s="8">
        <v>25485.358</v>
      </c>
      <c r="F6" s="9">
        <v>12676.431</v>
      </c>
    </row>
    <row r="7" spans="1:6" s="2" customFormat="1" ht="20.25" customHeight="1">
      <c r="A7" s="36" t="s">
        <v>15</v>
      </c>
      <c r="B7" s="34">
        <f t="shared" si="0"/>
        <v>16407.477</v>
      </c>
      <c r="C7" s="8">
        <f>C8+C9</f>
        <v>317.204</v>
      </c>
      <c r="D7" s="23">
        <f>D8+D9</f>
        <v>1.31</v>
      </c>
      <c r="E7" s="23">
        <f>E8+E9</f>
        <v>782.644</v>
      </c>
      <c r="F7" s="24">
        <f>F8+F9</f>
        <v>15306.319</v>
      </c>
    </row>
    <row r="8" spans="1:6" s="2" customFormat="1" ht="21.75" customHeight="1">
      <c r="A8" s="36" t="s">
        <v>16</v>
      </c>
      <c r="B8" s="34">
        <f t="shared" si="0"/>
        <v>4816.494000000001</v>
      </c>
      <c r="C8" s="206">
        <v>69.91</v>
      </c>
      <c r="D8" s="206"/>
      <c r="E8" s="206">
        <v>147.007</v>
      </c>
      <c r="F8" s="207">
        <v>4599.577</v>
      </c>
    </row>
    <row r="9" spans="1:6" s="2" customFormat="1" ht="24.75" customHeight="1">
      <c r="A9" s="36" t="s">
        <v>17</v>
      </c>
      <c r="B9" s="34">
        <f t="shared" si="0"/>
        <v>11590.983</v>
      </c>
      <c r="C9" s="206">
        <v>247.294</v>
      </c>
      <c r="D9" s="206">
        <v>1.31</v>
      </c>
      <c r="E9" s="206">
        <v>635.637</v>
      </c>
      <c r="F9" s="207">
        <v>10706.742</v>
      </c>
    </row>
    <row r="10" spans="1:6" s="2" customFormat="1" ht="47.25" customHeight="1">
      <c r="A10" s="86" t="s">
        <v>13</v>
      </c>
      <c r="B10" s="34">
        <f t="shared" si="0"/>
        <v>6677.485</v>
      </c>
      <c r="C10" s="23">
        <f>C11+C12</f>
        <v>1074.13</v>
      </c>
      <c r="D10" s="23"/>
      <c r="E10" s="23">
        <f>E11+E12</f>
        <v>2477.709</v>
      </c>
      <c r="F10" s="24">
        <f>F11+F12</f>
        <v>3125.6459999999997</v>
      </c>
    </row>
    <row r="11" spans="1:6" s="2" customFormat="1" ht="21.75" customHeight="1">
      <c r="A11" s="36" t="s">
        <v>18</v>
      </c>
      <c r="B11" s="34">
        <f t="shared" si="0"/>
        <v>4380.278</v>
      </c>
      <c r="C11" s="8">
        <v>954.716</v>
      </c>
      <c r="D11" s="8"/>
      <c r="E11" s="8">
        <v>2088.056</v>
      </c>
      <c r="F11" s="9">
        <v>1337.506</v>
      </c>
    </row>
    <row r="12" spans="1:6" s="2" customFormat="1" ht="19.5" customHeight="1">
      <c r="A12" s="36" t="s">
        <v>15</v>
      </c>
      <c r="B12" s="34">
        <f t="shared" si="0"/>
        <v>2297.207</v>
      </c>
      <c r="C12" s="23">
        <f>C13+C14</f>
        <v>119.414</v>
      </c>
      <c r="D12" s="8"/>
      <c r="E12" s="23">
        <f>E13+E14</f>
        <v>389.653</v>
      </c>
      <c r="F12" s="24">
        <f>F13+F14</f>
        <v>1788.1399999999999</v>
      </c>
    </row>
    <row r="13" spans="1:6" s="2" customFormat="1" ht="17.25" customHeight="1">
      <c r="A13" s="36" t="s">
        <v>16</v>
      </c>
      <c r="B13" s="34">
        <f t="shared" si="0"/>
        <v>1263.048</v>
      </c>
      <c r="C13" s="206"/>
      <c r="D13" s="206"/>
      <c r="E13" s="206">
        <v>59.613</v>
      </c>
      <c r="F13" s="207">
        <v>1203.435</v>
      </c>
    </row>
    <row r="14" spans="1:6" s="2" customFormat="1" ht="17.25" customHeight="1">
      <c r="A14" s="36" t="s">
        <v>17</v>
      </c>
      <c r="B14" s="34">
        <f t="shared" si="0"/>
        <v>1034.159</v>
      </c>
      <c r="C14" s="206">
        <v>119.414</v>
      </c>
      <c r="D14" s="206"/>
      <c r="E14" s="206">
        <v>330.04</v>
      </c>
      <c r="F14" s="207">
        <v>584.705</v>
      </c>
    </row>
    <row r="15" spans="1:6" s="2" customFormat="1" ht="35.25" customHeight="1">
      <c r="A15" s="86" t="s">
        <v>6</v>
      </c>
      <c r="B15" s="34">
        <f t="shared" si="0"/>
        <v>1632.843</v>
      </c>
      <c r="C15" s="23">
        <f>C16+C17</f>
        <v>1632.843</v>
      </c>
      <c r="D15" s="8"/>
      <c r="E15" s="8"/>
      <c r="F15" s="9"/>
    </row>
    <row r="16" spans="1:6" s="2" customFormat="1" ht="19.5" customHeight="1">
      <c r="A16" s="36" t="s">
        <v>18</v>
      </c>
      <c r="B16" s="34">
        <f t="shared" si="0"/>
        <v>1632.612</v>
      </c>
      <c r="C16" s="8">
        <v>1632.612</v>
      </c>
      <c r="D16" s="8"/>
      <c r="E16" s="23"/>
      <c r="F16" s="24"/>
    </row>
    <row r="17" spans="1:6" s="2" customFormat="1" ht="18" customHeight="1">
      <c r="A17" s="36" t="s">
        <v>15</v>
      </c>
      <c r="B17" s="34">
        <f t="shared" si="0"/>
        <v>0.231</v>
      </c>
      <c r="C17" s="23">
        <f>C18+C19</f>
        <v>0.231</v>
      </c>
      <c r="D17" s="8"/>
      <c r="E17" s="23">
        <f>E18+E19</f>
        <v>0</v>
      </c>
      <c r="F17" s="24">
        <f>F18+F19</f>
        <v>0</v>
      </c>
    </row>
    <row r="18" spans="1:6" s="2" customFormat="1" ht="19.5" customHeight="1">
      <c r="A18" s="36" t="s">
        <v>16</v>
      </c>
      <c r="B18" s="34">
        <f t="shared" si="0"/>
        <v>0.231</v>
      </c>
      <c r="C18" s="206">
        <v>0.231</v>
      </c>
      <c r="D18" s="206"/>
      <c r="E18" s="206"/>
      <c r="F18" s="207"/>
    </row>
    <row r="19" spans="1:6" s="2" customFormat="1" ht="19.5" customHeight="1">
      <c r="A19" s="36" t="s">
        <v>17</v>
      </c>
      <c r="B19" s="34">
        <f t="shared" si="0"/>
        <v>0</v>
      </c>
      <c r="C19" s="206"/>
      <c r="D19" s="206"/>
      <c r="E19" s="206"/>
      <c r="F19" s="207"/>
    </row>
    <row r="20" spans="1:6" s="2" customFormat="1" ht="51" customHeight="1">
      <c r="A20" s="86" t="s">
        <v>36</v>
      </c>
      <c r="B20" s="34">
        <f t="shared" si="0"/>
        <v>798.524</v>
      </c>
      <c r="C20" s="23">
        <f>C21+C22</f>
        <v>15.11</v>
      </c>
      <c r="D20" s="23">
        <f>D21+D22</f>
        <v>677.414</v>
      </c>
      <c r="E20" s="23">
        <f>E21+E22</f>
        <v>20.4</v>
      </c>
      <c r="F20" s="24">
        <f>F21+F22</f>
        <v>85.6</v>
      </c>
    </row>
    <row r="21" spans="1:6" s="2" customFormat="1" ht="21.75" customHeight="1">
      <c r="A21" s="36" t="s">
        <v>18</v>
      </c>
      <c r="B21" s="34">
        <f t="shared" si="0"/>
        <v>778.124</v>
      </c>
      <c r="C21" s="8">
        <v>15.11</v>
      </c>
      <c r="D21" s="8">
        <v>677.414</v>
      </c>
      <c r="E21" s="8">
        <v>20.4</v>
      </c>
      <c r="F21" s="9">
        <v>65.2</v>
      </c>
    </row>
    <row r="22" spans="1:6" s="2" customFormat="1" ht="21" customHeight="1">
      <c r="A22" s="36" t="s">
        <v>15</v>
      </c>
      <c r="B22" s="34">
        <f t="shared" si="0"/>
        <v>20.4</v>
      </c>
      <c r="C22" s="8"/>
      <c r="D22" s="8"/>
      <c r="E22" s="23">
        <f>E23+E24</f>
        <v>0</v>
      </c>
      <c r="F22" s="24">
        <f>F23+F24</f>
        <v>20.4</v>
      </c>
    </row>
    <row r="23" spans="1:6" s="2" customFormat="1" ht="21.75" customHeight="1">
      <c r="A23" s="36" t="s">
        <v>16</v>
      </c>
      <c r="B23" s="34">
        <f t="shared" si="0"/>
        <v>20.4</v>
      </c>
      <c r="C23" s="206"/>
      <c r="D23" s="206"/>
      <c r="E23" s="206"/>
      <c r="F23" s="207">
        <v>20.4</v>
      </c>
    </row>
    <row r="24" spans="1:6" s="2" customFormat="1" ht="21" customHeight="1">
      <c r="A24" s="36" t="s">
        <v>17</v>
      </c>
      <c r="B24" s="34">
        <f t="shared" si="0"/>
        <v>0</v>
      </c>
      <c r="C24" s="206"/>
      <c r="D24" s="206"/>
      <c r="E24" s="206"/>
      <c r="F24" s="207"/>
    </row>
    <row r="25" spans="1:6" s="2" customFormat="1" ht="41.25" customHeight="1">
      <c r="A25" s="86" t="s">
        <v>8</v>
      </c>
      <c r="B25" s="34">
        <f t="shared" si="0"/>
        <v>14089.238000000001</v>
      </c>
      <c r="C25" s="23">
        <f>C26+C27</f>
        <v>7481.6</v>
      </c>
      <c r="D25" s="23"/>
      <c r="E25" s="23">
        <f>E26+E27</f>
        <v>2354.903</v>
      </c>
      <c r="F25" s="24">
        <f>F26+F27</f>
        <v>4252.735</v>
      </c>
    </row>
    <row r="26" spans="1:6" s="2" customFormat="1" ht="19.5" customHeight="1">
      <c r="A26" s="36" t="s">
        <v>18</v>
      </c>
      <c r="B26" s="34">
        <f t="shared" si="0"/>
        <v>11282.46</v>
      </c>
      <c r="C26" s="8">
        <v>7481.6</v>
      </c>
      <c r="D26" s="8"/>
      <c r="E26" s="23">
        <v>2290.935</v>
      </c>
      <c r="F26" s="24">
        <v>1509.925</v>
      </c>
    </row>
    <row r="27" spans="1:6" s="2" customFormat="1" ht="24.75" customHeight="1">
      <c r="A27" s="36" t="s">
        <v>15</v>
      </c>
      <c r="B27" s="34">
        <f t="shared" si="0"/>
        <v>2806.778</v>
      </c>
      <c r="C27" s="8"/>
      <c r="D27" s="8"/>
      <c r="E27" s="23">
        <f>E28+E29</f>
        <v>63.968</v>
      </c>
      <c r="F27" s="24">
        <f>F28+F29</f>
        <v>2742.81</v>
      </c>
    </row>
    <row r="28" spans="1:6" s="2" customFormat="1" ht="25.5" customHeight="1">
      <c r="A28" s="36" t="s">
        <v>16</v>
      </c>
      <c r="B28" s="34">
        <f t="shared" si="0"/>
        <v>2773.7019999999998</v>
      </c>
      <c r="C28" s="206"/>
      <c r="D28" s="206"/>
      <c r="E28" s="206">
        <v>63.968</v>
      </c>
      <c r="F28" s="207">
        <f>2597.216+112.518</f>
        <v>2709.734</v>
      </c>
    </row>
    <row r="29" spans="1:6" s="2" customFormat="1" ht="20.25" customHeight="1">
      <c r="A29" s="36" t="s">
        <v>17</v>
      </c>
      <c r="B29" s="34">
        <f t="shared" si="0"/>
        <v>33.076</v>
      </c>
      <c r="C29" s="206"/>
      <c r="D29" s="206"/>
      <c r="E29" s="206"/>
      <c r="F29" s="207">
        <v>33.076</v>
      </c>
    </row>
    <row r="30" spans="1:6" s="2" customFormat="1" ht="50.25" customHeight="1">
      <c r="A30" s="86" t="s">
        <v>9</v>
      </c>
      <c r="B30" s="34">
        <f t="shared" si="0"/>
        <v>130.16199999999998</v>
      </c>
      <c r="C30" s="206"/>
      <c r="D30" s="23"/>
      <c r="E30" s="23">
        <f>E31+E32</f>
        <v>89.627</v>
      </c>
      <c r="F30" s="24">
        <f>F31+F32</f>
        <v>40.535</v>
      </c>
    </row>
    <row r="31" spans="1:6" s="2" customFormat="1" ht="22.5" customHeight="1">
      <c r="A31" s="36" t="s">
        <v>18</v>
      </c>
      <c r="B31" s="34">
        <f t="shared" si="0"/>
        <v>103.517</v>
      </c>
      <c r="C31" s="8"/>
      <c r="D31" s="8"/>
      <c r="E31" s="23">
        <v>89.627</v>
      </c>
      <c r="F31" s="24">
        <f>1.89+12</f>
        <v>13.89</v>
      </c>
    </row>
    <row r="32" spans="1:6" s="2" customFormat="1" ht="24.75" customHeight="1">
      <c r="A32" s="36" t="s">
        <v>15</v>
      </c>
      <c r="B32" s="34">
        <f t="shared" si="0"/>
        <v>26.645</v>
      </c>
      <c r="C32" s="8"/>
      <c r="D32" s="8"/>
      <c r="E32" s="23">
        <f>E33+E34</f>
        <v>0</v>
      </c>
      <c r="F32" s="24">
        <f>F33+F34</f>
        <v>26.645</v>
      </c>
    </row>
    <row r="33" spans="1:6" s="2" customFormat="1" ht="18" customHeight="1">
      <c r="A33" s="36" t="s">
        <v>16</v>
      </c>
      <c r="B33" s="34">
        <f t="shared" si="0"/>
        <v>22.598</v>
      </c>
      <c r="C33" s="206"/>
      <c r="D33" s="206"/>
      <c r="E33" s="206"/>
      <c r="F33" s="207">
        <v>22.598</v>
      </c>
    </row>
    <row r="34" spans="1:6" s="2" customFormat="1" ht="18" customHeight="1">
      <c r="A34" s="36" t="s">
        <v>17</v>
      </c>
      <c r="B34" s="34">
        <f t="shared" si="0"/>
        <v>4.047</v>
      </c>
      <c r="C34" s="206"/>
      <c r="D34" s="206"/>
      <c r="E34" s="206"/>
      <c r="F34" s="207">
        <v>4.047</v>
      </c>
    </row>
    <row r="35" spans="1:6" s="2" customFormat="1" ht="25.5" customHeight="1">
      <c r="A35" s="86" t="s">
        <v>32</v>
      </c>
      <c r="B35" s="34">
        <f t="shared" si="0"/>
        <v>141.835</v>
      </c>
      <c r="C35" s="23">
        <f>C36+C37</f>
        <v>141.835</v>
      </c>
      <c r="D35" s="208"/>
      <c r="E35" s="23">
        <f>E36+E37</f>
        <v>0</v>
      </c>
      <c r="F35" s="24">
        <f>F36+F37</f>
        <v>0</v>
      </c>
    </row>
    <row r="36" spans="1:6" s="2" customFormat="1" ht="23.25" customHeight="1">
      <c r="A36" s="36" t="s">
        <v>18</v>
      </c>
      <c r="B36" s="34">
        <f t="shared" si="0"/>
        <v>141.835</v>
      </c>
      <c r="C36" s="8">
        <v>141.835</v>
      </c>
      <c r="D36" s="8"/>
      <c r="E36" s="8"/>
      <c r="F36" s="9"/>
    </row>
    <row r="37" spans="1:6" s="2" customFormat="1" ht="23.25" customHeight="1">
      <c r="A37" s="36" t="s">
        <v>15</v>
      </c>
      <c r="B37" s="34">
        <f t="shared" si="0"/>
        <v>0</v>
      </c>
      <c r="C37" s="23">
        <f>C38+C39</f>
        <v>0</v>
      </c>
      <c r="D37" s="8"/>
      <c r="E37" s="23">
        <f>E38+E39</f>
        <v>0</v>
      </c>
      <c r="F37" s="24">
        <f>F38+F39</f>
        <v>0</v>
      </c>
    </row>
    <row r="38" spans="1:6" s="2" customFormat="1" ht="23.25" customHeight="1">
      <c r="A38" s="36" t="s">
        <v>16</v>
      </c>
      <c r="B38" s="34">
        <f t="shared" si="0"/>
        <v>0</v>
      </c>
      <c r="C38" s="208"/>
      <c r="D38" s="208"/>
      <c r="E38" s="208"/>
      <c r="F38" s="12"/>
    </row>
    <row r="39" spans="1:6" s="2" customFormat="1" ht="23.25" customHeight="1">
      <c r="A39" s="36" t="s">
        <v>17</v>
      </c>
      <c r="B39" s="34">
        <f t="shared" si="0"/>
        <v>0</v>
      </c>
      <c r="C39" s="208"/>
      <c r="D39" s="208"/>
      <c r="E39" s="208"/>
      <c r="F39" s="12"/>
    </row>
    <row r="40" spans="1:6" s="2" customFormat="1" ht="42" customHeight="1">
      <c r="A40" s="86" t="s">
        <v>33</v>
      </c>
      <c r="B40" s="34">
        <f t="shared" si="0"/>
        <v>50.105000000000004</v>
      </c>
      <c r="C40" s="23">
        <f>C41+C42</f>
        <v>1.865</v>
      </c>
      <c r="D40" s="208"/>
      <c r="E40" s="23">
        <f>E41+E42</f>
        <v>48.24</v>
      </c>
      <c r="F40" s="24">
        <f>F41+F42</f>
        <v>0</v>
      </c>
    </row>
    <row r="41" spans="1:6" s="2" customFormat="1" ht="19.5" customHeight="1">
      <c r="A41" s="36" t="s">
        <v>18</v>
      </c>
      <c r="B41" s="34">
        <f t="shared" si="0"/>
        <v>50.105000000000004</v>
      </c>
      <c r="C41" s="8">
        <v>1.865</v>
      </c>
      <c r="D41" s="8"/>
      <c r="E41" s="8">
        <v>48.24</v>
      </c>
      <c r="F41" s="9"/>
    </row>
    <row r="42" spans="1:6" s="2" customFormat="1" ht="19.5" customHeight="1">
      <c r="A42" s="36" t="s">
        <v>15</v>
      </c>
      <c r="B42" s="34">
        <f t="shared" si="0"/>
        <v>0</v>
      </c>
      <c r="C42" s="8"/>
      <c r="D42" s="8"/>
      <c r="E42" s="23">
        <f>E43+E44</f>
        <v>0</v>
      </c>
      <c r="F42" s="24">
        <f>F43+F44</f>
        <v>0</v>
      </c>
    </row>
    <row r="43" spans="1:6" s="2" customFormat="1" ht="19.5" customHeight="1">
      <c r="A43" s="36" t="s">
        <v>16</v>
      </c>
      <c r="B43" s="34">
        <f t="shared" si="0"/>
        <v>0</v>
      </c>
      <c r="C43" s="208"/>
      <c r="D43" s="208"/>
      <c r="E43" s="208"/>
      <c r="F43" s="12"/>
    </row>
    <row r="44" spans="1:6" s="2" customFormat="1" ht="19.5" customHeight="1">
      <c r="A44" s="36" t="s">
        <v>17</v>
      </c>
      <c r="B44" s="34">
        <f t="shared" si="0"/>
        <v>0</v>
      </c>
      <c r="C44" s="208"/>
      <c r="D44" s="208"/>
      <c r="E44" s="208"/>
      <c r="F44" s="12"/>
    </row>
    <row r="45" spans="1:6" s="2" customFormat="1" ht="24.75" customHeight="1">
      <c r="A45" s="86" t="s">
        <v>10</v>
      </c>
      <c r="B45" s="34">
        <f t="shared" si="0"/>
        <v>1219.393</v>
      </c>
      <c r="C45" s="23"/>
      <c r="D45" s="8"/>
      <c r="E45" s="23">
        <f>E46+E47</f>
        <v>575.973</v>
      </c>
      <c r="F45" s="24">
        <f>F46+F47</f>
        <v>643.42</v>
      </c>
    </row>
    <row r="46" spans="1:6" s="2" customFormat="1" ht="24.75" customHeight="1">
      <c r="A46" s="36" t="s">
        <v>18</v>
      </c>
      <c r="B46" s="34">
        <f t="shared" si="0"/>
        <v>648.611</v>
      </c>
      <c r="C46" s="8"/>
      <c r="D46" s="8"/>
      <c r="E46" s="23">
        <v>444.643</v>
      </c>
      <c r="F46" s="24">
        <v>203.968</v>
      </c>
    </row>
    <row r="47" spans="1:6" s="2" customFormat="1" ht="24.75" customHeight="1">
      <c r="A47" s="36" t="s">
        <v>15</v>
      </c>
      <c r="B47" s="34">
        <f t="shared" si="0"/>
        <v>570.782</v>
      </c>
      <c r="C47" s="8"/>
      <c r="D47" s="8"/>
      <c r="E47" s="23">
        <f>E48+E49</f>
        <v>131.33</v>
      </c>
      <c r="F47" s="24">
        <f>F48+F49</f>
        <v>439.452</v>
      </c>
    </row>
    <row r="48" spans="1:6" s="2" customFormat="1" ht="24.75" customHeight="1">
      <c r="A48" s="36" t="s">
        <v>16</v>
      </c>
      <c r="B48" s="34">
        <f t="shared" si="0"/>
        <v>478.79600000000005</v>
      </c>
      <c r="C48" s="8"/>
      <c r="D48" s="8"/>
      <c r="E48" s="206">
        <v>130.419</v>
      </c>
      <c r="F48" s="207">
        <f>318.837+29.54</f>
        <v>348.377</v>
      </c>
    </row>
    <row r="49" spans="1:6" s="2" customFormat="1" ht="24.75" customHeight="1">
      <c r="A49" s="36" t="s">
        <v>17</v>
      </c>
      <c r="B49" s="34">
        <f t="shared" si="0"/>
        <v>91.986</v>
      </c>
      <c r="C49" s="8"/>
      <c r="D49" s="8"/>
      <c r="E49" s="206">
        <v>0.911</v>
      </c>
      <c r="F49" s="207">
        <v>91.075</v>
      </c>
    </row>
    <row r="50" spans="1:6" s="2" customFormat="1" ht="24.75" customHeight="1">
      <c r="A50" s="86" t="s">
        <v>5</v>
      </c>
      <c r="B50" s="34">
        <f t="shared" si="0"/>
        <v>3261.3979999999997</v>
      </c>
      <c r="C50" s="23">
        <f>C51+C52</f>
        <v>374.251</v>
      </c>
      <c r="D50" s="8"/>
      <c r="E50" s="23">
        <f>E51+E52</f>
        <v>1819.033</v>
      </c>
      <c r="F50" s="24">
        <f>F51+F52</f>
        <v>1068.114</v>
      </c>
    </row>
    <row r="51" spans="1:6" s="2" customFormat="1" ht="24.75" customHeight="1">
      <c r="A51" s="36" t="s">
        <v>18</v>
      </c>
      <c r="B51" s="34">
        <f t="shared" si="0"/>
        <v>2140.903</v>
      </c>
      <c r="C51" s="23">
        <v>374.251</v>
      </c>
      <c r="D51" s="8"/>
      <c r="E51" s="23">
        <v>1294.456</v>
      </c>
      <c r="F51" s="24">
        <v>472.196</v>
      </c>
    </row>
    <row r="52" spans="1:6" s="2" customFormat="1" ht="24.75" customHeight="1">
      <c r="A52" s="36" t="s">
        <v>15</v>
      </c>
      <c r="B52" s="34">
        <f t="shared" si="0"/>
        <v>1120.4950000000001</v>
      </c>
      <c r="C52" s="8"/>
      <c r="D52" s="8"/>
      <c r="E52" s="23">
        <f>E53+E54</f>
        <v>524.5770000000001</v>
      </c>
      <c r="F52" s="24">
        <f>F53+F54</f>
        <v>595.918</v>
      </c>
    </row>
    <row r="53" spans="1:6" s="2" customFormat="1" ht="24.75" customHeight="1">
      <c r="A53" s="36" t="s">
        <v>16</v>
      </c>
      <c r="B53" s="34">
        <f t="shared" si="0"/>
        <v>1113.415</v>
      </c>
      <c r="C53" s="206"/>
      <c r="D53" s="206"/>
      <c r="E53" s="206">
        <f>491.723+25.774</f>
        <v>517.4970000000001</v>
      </c>
      <c r="F53" s="207">
        <f>520.051+75.867</f>
        <v>595.918</v>
      </c>
    </row>
    <row r="54" spans="1:6" s="2" customFormat="1" ht="24.75" customHeight="1">
      <c r="A54" s="36" t="s">
        <v>17</v>
      </c>
      <c r="B54" s="34">
        <f t="shared" si="0"/>
        <v>7.08</v>
      </c>
      <c r="C54" s="206"/>
      <c r="D54" s="206"/>
      <c r="E54" s="206">
        <v>7.08</v>
      </c>
      <c r="F54" s="207"/>
    </row>
    <row r="55" spans="1:6" s="2" customFormat="1" ht="50.25" customHeight="1">
      <c r="A55" s="86" t="s">
        <v>11</v>
      </c>
      <c r="B55" s="34">
        <f t="shared" si="0"/>
        <v>6779.348</v>
      </c>
      <c r="C55" s="23"/>
      <c r="D55" s="8"/>
      <c r="E55" s="23">
        <f>E56+E57</f>
        <v>1533.522</v>
      </c>
      <c r="F55" s="24">
        <f>F56+F57</f>
        <v>5245.826</v>
      </c>
    </row>
    <row r="56" spans="1:6" s="2" customFormat="1" ht="26.25" customHeight="1">
      <c r="A56" s="36" t="s">
        <v>18</v>
      </c>
      <c r="B56" s="34">
        <f t="shared" si="0"/>
        <v>3417.8019999999997</v>
      </c>
      <c r="C56" s="8"/>
      <c r="D56" s="8"/>
      <c r="E56" s="23">
        <v>1477.994</v>
      </c>
      <c r="F56" s="24">
        <v>1939.808</v>
      </c>
    </row>
    <row r="57" spans="1:6" s="2" customFormat="1" ht="26.25" customHeight="1">
      <c r="A57" s="36" t="s">
        <v>15</v>
      </c>
      <c r="B57" s="34">
        <f t="shared" si="0"/>
        <v>3361.546</v>
      </c>
      <c r="C57" s="8"/>
      <c r="D57" s="8"/>
      <c r="E57" s="23">
        <f>E58+E59</f>
        <v>55.528</v>
      </c>
      <c r="F57" s="24">
        <f>F58+F59</f>
        <v>3306.018</v>
      </c>
    </row>
    <row r="58" spans="1:6" s="2" customFormat="1" ht="26.25" customHeight="1">
      <c r="A58" s="36" t="s">
        <v>16</v>
      </c>
      <c r="B58" s="34">
        <f t="shared" si="0"/>
        <v>850.058</v>
      </c>
      <c r="C58" s="10"/>
      <c r="D58" s="8"/>
      <c r="E58" s="206">
        <v>29.229</v>
      </c>
      <c r="F58" s="207">
        <v>820.829</v>
      </c>
    </row>
    <row r="59" spans="1:6" s="2" customFormat="1" ht="26.25" customHeight="1">
      <c r="A59" s="36" t="s">
        <v>17</v>
      </c>
      <c r="B59" s="34">
        <f t="shared" si="0"/>
        <v>2511.488</v>
      </c>
      <c r="C59" s="10"/>
      <c r="D59" s="8"/>
      <c r="E59" s="206">
        <v>26.299</v>
      </c>
      <c r="F59" s="207">
        <v>2485.189</v>
      </c>
    </row>
    <row r="60" spans="1:6" s="2" customFormat="1" ht="24.75" customHeight="1">
      <c r="A60" s="87" t="s">
        <v>39</v>
      </c>
      <c r="B60" s="34">
        <f t="shared" si="0"/>
        <v>160.46</v>
      </c>
      <c r="C60" s="8"/>
      <c r="D60" s="8"/>
      <c r="E60" s="8">
        <f>E61+E62</f>
        <v>71.73</v>
      </c>
      <c r="F60" s="9">
        <f>F61+F62</f>
        <v>88.73</v>
      </c>
    </row>
    <row r="61" spans="1:6" s="2" customFormat="1" ht="21.75" customHeight="1">
      <c r="A61" s="36" t="s">
        <v>18</v>
      </c>
      <c r="B61" s="34">
        <f t="shared" si="0"/>
        <v>160.46</v>
      </c>
      <c r="C61" s="8"/>
      <c r="D61" s="8"/>
      <c r="E61" s="23">
        <v>71.73</v>
      </c>
      <c r="F61" s="24">
        <v>88.73</v>
      </c>
    </row>
    <row r="62" spans="1:6" s="2" customFormat="1" ht="16.5" customHeight="1">
      <c r="A62" s="36" t="s">
        <v>15</v>
      </c>
      <c r="B62" s="34">
        <f t="shared" si="0"/>
        <v>0</v>
      </c>
      <c r="C62" s="8"/>
      <c r="D62" s="8"/>
      <c r="E62" s="23">
        <f>E63+E64</f>
        <v>0</v>
      </c>
      <c r="F62" s="24">
        <f>F63+F64</f>
        <v>0</v>
      </c>
    </row>
    <row r="63" spans="1:6" s="2" customFormat="1" ht="18" customHeight="1">
      <c r="A63" s="36" t="s">
        <v>16</v>
      </c>
      <c r="B63" s="34">
        <f t="shared" si="0"/>
        <v>0</v>
      </c>
      <c r="C63" s="10"/>
      <c r="D63" s="8"/>
      <c r="E63" s="10"/>
      <c r="F63" s="19"/>
    </row>
    <row r="64" spans="1:6" s="2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</row>
    <row r="65" spans="1:6" s="2" customFormat="1" ht="24.75" customHeight="1">
      <c r="A65" s="87" t="s">
        <v>4</v>
      </c>
      <c r="B65" s="34">
        <f t="shared" si="0"/>
        <v>915.273</v>
      </c>
      <c r="C65" s="208">
        <f>C66+C67</f>
        <v>915.273</v>
      </c>
      <c r="D65" s="8"/>
      <c r="E65" s="8"/>
      <c r="F65" s="9"/>
    </row>
    <row r="66" spans="1:6" s="2" customFormat="1" ht="21.75" customHeight="1">
      <c r="A66" s="36" t="s">
        <v>18</v>
      </c>
      <c r="B66" s="34">
        <f t="shared" si="0"/>
        <v>915.273</v>
      </c>
      <c r="C66" s="23">
        <v>915.273</v>
      </c>
      <c r="D66" s="8"/>
      <c r="E66" s="23">
        <f>E65-E67</f>
        <v>0</v>
      </c>
      <c r="F66" s="24">
        <f>F65-F67</f>
        <v>0</v>
      </c>
    </row>
    <row r="67" spans="1:6" s="2" customFormat="1" ht="18" customHeight="1">
      <c r="A67" s="36" t="s">
        <v>15</v>
      </c>
      <c r="B67" s="34">
        <f t="shared" si="0"/>
        <v>0</v>
      </c>
      <c r="C67" s="23">
        <f>C68+C69</f>
        <v>0</v>
      </c>
      <c r="D67" s="8"/>
      <c r="E67" s="23">
        <f>E68+E69</f>
        <v>0</v>
      </c>
      <c r="F67" s="24">
        <f>F68+F69</f>
        <v>0</v>
      </c>
    </row>
    <row r="68" spans="1:6" s="2" customFormat="1" ht="19.5" customHeight="1">
      <c r="A68" s="36" t="s">
        <v>16</v>
      </c>
      <c r="B68" s="34">
        <f t="shared" si="0"/>
        <v>0</v>
      </c>
      <c r="C68" s="208"/>
      <c r="D68" s="8"/>
      <c r="E68" s="8"/>
      <c r="F68" s="9"/>
    </row>
    <row r="69" spans="1:6" s="2" customFormat="1" ht="19.5" customHeight="1" thickBot="1">
      <c r="A69" s="37" t="s">
        <v>17</v>
      </c>
      <c r="B69" s="35">
        <f t="shared" si="0"/>
        <v>0</v>
      </c>
      <c r="C69" s="237"/>
      <c r="D69" s="15"/>
      <c r="E69" s="15"/>
      <c r="F69" s="20"/>
    </row>
    <row r="70" spans="1:6" s="6" customFormat="1" ht="25.5" customHeight="1">
      <c r="A70" s="140" t="s">
        <v>26</v>
      </c>
      <c r="B70" s="95">
        <f>C70+D70+E70+F70</f>
        <v>581.404</v>
      </c>
      <c r="C70" s="45"/>
      <c r="D70" s="45"/>
      <c r="E70" s="212">
        <v>581.404</v>
      </c>
      <c r="F70" s="47"/>
    </row>
    <row r="71" spans="1:6" s="3" customFormat="1" ht="18">
      <c r="A71" s="54" t="s">
        <v>27</v>
      </c>
      <c r="B71" s="5">
        <f aca="true" t="shared" si="1" ref="B71:B78">C71+D71+E71+F71</f>
        <v>76.804</v>
      </c>
      <c r="C71" s="48"/>
      <c r="D71" s="48"/>
      <c r="E71" s="215">
        <v>76.804</v>
      </c>
      <c r="F71" s="216"/>
    </row>
    <row r="72" spans="1:6" s="3" customFormat="1" ht="18">
      <c r="A72" s="54" t="s">
        <v>34</v>
      </c>
      <c r="B72" s="5">
        <f t="shared" si="1"/>
        <v>715.0550000000001</v>
      </c>
      <c r="C72" s="48"/>
      <c r="D72" s="48"/>
      <c r="E72" s="215">
        <v>616.341</v>
      </c>
      <c r="F72" s="216">
        <v>98.714</v>
      </c>
    </row>
    <row r="73" spans="1:6" s="70" customFormat="1" ht="23.25" customHeight="1">
      <c r="A73" s="62" t="s">
        <v>35</v>
      </c>
      <c r="B73" s="5">
        <f t="shared" si="1"/>
        <v>2101.89</v>
      </c>
      <c r="C73" s="52"/>
      <c r="D73" s="52"/>
      <c r="E73" s="52">
        <v>2087.04</v>
      </c>
      <c r="F73" s="53">
        <v>14.85</v>
      </c>
    </row>
    <row r="74" spans="1:6" s="70" customFormat="1" ht="23.25" customHeight="1">
      <c r="A74" s="54" t="s">
        <v>28</v>
      </c>
      <c r="B74" s="5">
        <f t="shared" si="1"/>
        <v>887.398</v>
      </c>
      <c r="C74" s="215">
        <v>590.808</v>
      </c>
      <c r="D74" s="215"/>
      <c r="E74" s="215">
        <v>146.844</v>
      </c>
      <c r="F74" s="216">
        <v>149.746</v>
      </c>
    </row>
    <row r="75" spans="1:6" s="70" customFormat="1" ht="23.25" customHeight="1">
      <c r="A75" s="62" t="s">
        <v>29</v>
      </c>
      <c r="B75" s="104">
        <f t="shared" si="1"/>
        <v>683.187</v>
      </c>
      <c r="C75" s="215"/>
      <c r="D75" s="215"/>
      <c r="E75" s="215">
        <v>683.187</v>
      </c>
      <c r="F75" s="216"/>
    </row>
    <row r="76" spans="1:6" s="70" customFormat="1" ht="23.25" customHeight="1">
      <c r="A76" s="105" t="s">
        <v>30</v>
      </c>
      <c r="B76" s="104">
        <f t="shared" si="1"/>
        <v>67.84</v>
      </c>
      <c r="C76" s="215"/>
      <c r="D76" s="215"/>
      <c r="E76" s="215"/>
      <c r="F76" s="216">
        <v>67.84</v>
      </c>
    </row>
    <row r="77" spans="1:6" s="70" customFormat="1" ht="23.25" customHeight="1" thickBot="1">
      <c r="A77" s="106" t="s">
        <v>31</v>
      </c>
      <c r="B77" s="107">
        <f t="shared" si="1"/>
        <v>255.848</v>
      </c>
      <c r="C77" s="217"/>
      <c r="D77" s="217"/>
      <c r="E77" s="217">
        <v>15.4</v>
      </c>
      <c r="F77" s="218">
        <v>240.448</v>
      </c>
    </row>
    <row r="78" spans="1:6" s="70" customFormat="1" ht="23.25" customHeight="1" thickBot="1">
      <c r="A78" s="110" t="s">
        <v>40</v>
      </c>
      <c r="B78" s="88">
        <f t="shared" si="1"/>
        <v>136649.41199999998</v>
      </c>
      <c r="C78" s="89">
        <f>C5+C10+C15+C20+C25+C30+C35+C40+C45+C50+C55+C60+C65+C70+C71+C72+C73+C74+C75+C76+C77</f>
        <v>51883.637999999984</v>
      </c>
      <c r="D78" s="89">
        <f>D5+D10+D15+D20+D25+D30+D35+D40+D45+D50+D55+D60+D65+D70+D71+D72+D73+D74+D75+D76+D77</f>
        <v>2194.661</v>
      </c>
      <c r="E78" s="89">
        <f>E5+E10+E15+E20+E25+E30+E35+E40+E45+E50+E55+E60+E65+E70+E71+E72+E73+E74+E75+E76+E77</f>
        <v>39466.159</v>
      </c>
      <c r="F78" s="89">
        <f>F5+F10+F15+F20+F25+F30+F35+F40+F45+F50+F55+F60+F65+F70+F71+F72+F73+F74+F75+F76+F77</f>
        <v>43104.954</v>
      </c>
    </row>
    <row r="79" spans="1:6" s="70" customFormat="1" ht="23.25" customHeight="1">
      <c r="A79" s="3"/>
      <c r="B79" s="3"/>
      <c r="C79" s="3"/>
      <c r="D79" s="3"/>
      <c r="E79" s="3"/>
      <c r="F79" s="3"/>
    </row>
    <row r="80" spans="1:6" s="70" customFormat="1" ht="23.25" customHeight="1">
      <c r="A80" s="3"/>
      <c r="B80" s="90"/>
      <c r="C80" s="3"/>
      <c r="D80" s="3"/>
      <c r="E80" s="3"/>
      <c r="F80" s="3"/>
    </row>
    <row r="81" spans="1:6" s="70" customFormat="1" ht="33" customHeight="1">
      <c r="A81" s="3"/>
      <c r="B81" s="3"/>
      <c r="C81" s="3"/>
      <c r="D81" s="3"/>
      <c r="E81" s="3"/>
      <c r="F81" s="3"/>
    </row>
    <row r="82" spans="1:6" s="70" customFormat="1" ht="38.25" customHeight="1">
      <c r="A82" s="3"/>
      <c r="B82" s="3"/>
      <c r="C82" s="3"/>
      <c r="D82" s="3"/>
      <c r="E82" s="3"/>
      <c r="F82" s="3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60" zoomScaleNormal="60" workbookViewId="0" topLeftCell="A1">
      <selection activeCell="N21" sqref="N21"/>
    </sheetView>
  </sheetViews>
  <sheetFormatPr defaultColWidth="9.00390625" defaultRowHeight="12.75"/>
  <cols>
    <col min="1" max="1" width="56.25390625" style="0" customWidth="1"/>
    <col min="2" max="6" width="24.00390625" style="0" customWidth="1"/>
  </cols>
  <sheetData>
    <row r="1" spans="1:6" s="70" customFormat="1" ht="23.25">
      <c r="A1" s="238" t="s">
        <v>44</v>
      </c>
      <c r="B1" s="238"/>
      <c r="C1" s="238"/>
      <c r="D1" s="238"/>
      <c r="E1" s="238"/>
      <c r="F1" s="238"/>
    </row>
    <row r="2" spans="1:6" s="163" customFormat="1" ht="23.25">
      <c r="A2" s="239" t="s">
        <v>66</v>
      </c>
      <c r="B2" s="239"/>
      <c r="C2" s="239"/>
      <c r="D2" s="240"/>
      <c r="E2" s="240"/>
      <c r="F2" s="240"/>
    </row>
    <row r="3" spans="1:6" s="157" customFormat="1" ht="18.75" thickBot="1">
      <c r="A3" s="3"/>
      <c r="B3" s="3"/>
      <c r="C3" s="3"/>
      <c r="D3" s="3"/>
      <c r="E3" s="3"/>
      <c r="F3" s="141" t="s">
        <v>42</v>
      </c>
    </row>
    <row r="4" spans="1:8" s="165" customFormat="1" ht="29.25" customHeight="1" thickBot="1">
      <c r="A4" s="78" t="s">
        <v>67</v>
      </c>
      <c r="B4" s="122"/>
      <c r="C4" s="92" t="s">
        <v>0</v>
      </c>
      <c r="D4" s="92" t="s">
        <v>1</v>
      </c>
      <c r="E4" s="92" t="s">
        <v>2</v>
      </c>
      <c r="F4" s="93" t="s">
        <v>3</v>
      </c>
      <c r="G4" s="7"/>
      <c r="H4" s="164"/>
    </row>
    <row r="5" spans="1:6" s="2" customFormat="1" ht="57" customHeight="1">
      <c r="A5" s="82" t="s">
        <v>7</v>
      </c>
      <c r="B5" s="95">
        <f aca="true" t="shared" si="0" ref="B5:B36">C5+D5+E5+F5</f>
        <v>273615.2</v>
      </c>
      <c r="C5" s="210">
        <f>C6+C7</f>
        <v>118167.327</v>
      </c>
      <c r="D5" s="210">
        <f>D6+D7</f>
        <v>4459.777</v>
      </c>
      <c r="E5" s="210">
        <f>E6+E7</f>
        <v>72831.77100000001</v>
      </c>
      <c r="F5" s="211">
        <f>F6+F7</f>
        <v>78156.32500000001</v>
      </c>
    </row>
    <row r="6" spans="1:6" s="2" customFormat="1" ht="27" customHeight="1">
      <c r="A6" s="36" t="s">
        <v>18</v>
      </c>
      <c r="B6" s="5">
        <f t="shared" si="0"/>
        <v>226158.331</v>
      </c>
      <c r="C6" s="8">
        <f>'октябрь факт'!C6+'ноябрь факт'!C6+'декабрь факт'!C6</f>
        <v>117216.106</v>
      </c>
      <c r="D6" s="8">
        <f>'октябрь факт'!D6+'ноябрь факт'!D6+'декабрь факт'!D6</f>
        <v>4455.907</v>
      </c>
      <c r="E6" s="8">
        <f>'октябрь факт'!E6+'ноябрь факт'!E6+'декабрь факт'!E6</f>
        <v>70647.07</v>
      </c>
      <c r="F6" s="9">
        <f>'октябрь факт'!F6+'ноябрь факт'!F6+'декабрь факт'!F6</f>
        <v>33839.24800000001</v>
      </c>
    </row>
    <row r="7" spans="1:6" s="2" customFormat="1" ht="20.25" customHeight="1">
      <c r="A7" s="36" t="s">
        <v>15</v>
      </c>
      <c r="B7" s="5">
        <f t="shared" si="0"/>
        <v>47456.869</v>
      </c>
      <c r="C7" s="23">
        <f>C8+C9</f>
        <v>951.221</v>
      </c>
      <c r="D7" s="23">
        <f>D8+D9</f>
        <v>3.87</v>
      </c>
      <c r="E7" s="23">
        <f>E8+E9</f>
        <v>2184.701</v>
      </c>
      <c r="F7" s="24">
        <f>F8+F9</f>
        <v>44317.077</v>
      </c>
    </row>
    <row r="8" spans="1:6" s="2" customFormat="1" ht="21.75" customHeight="1">
      <c r="A8" s="36" t="s">
        <v>16</v>
      </c>
      <c r="B8" s="5">
        <f t="shared" si="0"/>
        <v>13952.74</v>
      </c>
      <c r="C8" s="10">
        <f>'октябрь факт'!C8+'ноябрь факт'!C8+'декабрь факт'!C8</f>
        <v>194.336</v>
      </c>
      <c r="D8" s="10">
        <f>'октябрь факт'!D8+'ноябрь факт'!D8+'декабрь факт'!D8</f>
        <v>0</v>
      </c>
      <c r="E8" s="10">
        <f>'октябрь факт'!E8+'ноябрь факт'!E8+'декабрь факт'!E8</f>
        <v>404.781</v>
      </c>
      <c r="F8" s="19">
        <f>'октябрь факт'!F8+'ноябрь факт'!F8+'декабрь факт'!F8</f>
        <v>13353.623</v>
      </c>
    </row>
    <row r="9" spans="1:6" s="2" customFormat="1" ht="24.75" customHeight="1">
      <c r="A9" s="36" t="s">
        <v>17</v>
      </c>
      <c r="B9" s="5">
        <f t="shared" si="0"/>
        <v>33504.129</v>
      </c>
      <c r="C9" s="10">
        <f>'октябрь факт'!C9+'ноябрь факт'!C9+'декабрь факт'!C9</f>
        <v>756.885</v>
      </c>
      <c r="D9" s="10">
        <f>'октябрь факт'!D9+'ноябрь факт'!D9+'декабрь факт'!D9</f>
        <v>3.87</v>
      </c>
      <c r="E9" s="10">
        <f>'октябрь факт'!E9+'ноябрь факт'!E9+'декабрь факт'!E9</f>
        <v>1779.9199999999998</v>
      </c>
      <c r="F9" s="19">
        <f>'октябрь факт'!F9+'ноябрь факт'!F9+'декабрь факт'!F9</f>
        <v>30963.453999999998</v>
      </c>
    </row>
    <row r="10" spans="1:6" s="2" customFormat="1" ht="47.25" customHeight="1">
      <c r="A10" s="86" t="s">
        <v>13</v>
      </c>
      <c r="B10" s="5">
        <f t="shared" si="0"/>
        <v>19344.43</v>
      </c>
      <c r="C10" s="23">
        <f>C11+C12</f>
        <v>3014.75</v>
      </c>
      <c r="D10" s="23">
        <f>D11+D12</f>
        <v>0</v>
      </c>
      <c r="E10" s="23">
        <f>E11+E12</f>
        <v>7141.111</v>
      </c>
      <c r="F10" s="24">
        <f>F11+F12</f>
        <v>9188.569</v>
      </c>
    </row>
    <row r="11" spans="1:6" s="2" customFormat="1" ht="21.75" customHeight="1">
      <c r="A11" s="36" t="s">
        <v>18</v>
      </c>
      <c r="B11" s="5">
        <f t="shared" si="0"/>
        <v>12548.713</v>
      </c>
      <c r="C11" s="8">
        <f>'октябрь факт'!C11+'ноябрь факт'!C11+'декабрь факт'!C11</f>
        <v>2708.717</v>
      </c>
      <c r="D11" s="8">
        <f>'октябрь факт'!D11+'ноябрь факт'!D11+'декабрь факт'!D11</f>
        <v>0</v>
      </c>
      <c r="E11" s="8">
        <f>'октябрь факт'!E11+'ноябрь факт'!E11+'декабрь факт'!E11</f>
        <v>6074.322</v>
      </c>
      <c r="F11" s="9">
        <f>'октябрь факт'!F11+'ноябрь факт'!F11+'декабрь факт'!F11</f>
        <v>3765.674</v>
      </c>
    </row>
    <row r="12" spans="1:6" s="2" customFormat="1" ht="19.5" customHeight="1">
      <c r="A12" s="36" t="s">
        <v>15</v>
      </c>
      <c r="B12" s="5">
        <f t="shared" si="0"/>
        <v>6795.717000000001</v>
      </c>
      <c r="C12" s="23">
        <f>C13+C14</f>
        <v>306.033</v>
      </c>
      <c r="D12" s="23">
        <f>D13+D14</f>
        <v>0</v>
      </c>
      <c r="E12" s="23">
        <f>E13+E14</f>
        <v>1066.789</v>
      </c>
      <c r="F12" s="24">
        <f>F13+F14</f>
        <v>5422.895</v>
      </c>
    </row>
    <row r="13" spans="1:6" s="2" customFormat="1" ht="17.25" customHeight="1">
      <c r="A13" s="36" t="s">
        <v>16</v>
      </c>
      <c r="B13" s="5">
        <f t="shared" si="0"/>
        <v>3756.951</v>
      </c>
      <c r="C13" s="10">
        <f>'октябрь факт'!C13+'ноябрь факт'!C13+'декабрь факт'!C13</f>
        <v>0</v>
      </c>
      <c r="D13" s="10">
        <f>'октябрь факт'!D13+'ноябрь факт'!D13+'декабрь факт'!D13</f>
        <v>0</v>
      </c>
      <c r="E13" s="10">
        <f>'октябрь факт'!E13+'ноябрь факт'!E13+'декабрь факт'!E13</f>
        <v>164.762</v>
      </c>
      <c r="F13" s="19">
        <f>'октябрь факт'!F13+'ноябрь факт'!F13+'декабрь факт'!F13</f>
        <v>3592.189</v>
      </c>
    </row>
    <row r="14" spans="1:6" s="2" customFormat="1" ht="17.25" customHeight="1">
      <c r="A14" s="36" t="s">
        <v>17</v>
      </c>
      <c r="B14" s="5">
        <f t="shared" si="0"/>
        <v>3038.766</v>
      </c>
      <c r="C14" s="10">
        <f>'октябрь факт'!C14+'ноябрь факт'!C14+'декабрь факт'!C14</f>
        <v>306.033</v>
      </c>
      <c r="D14" s="10">
        <f>'октябрь факт'!D14+'ноябрь факт'!D14+'декабрь факт'!D14</f>
        <v>0</v>
      </c>
      <c r="E14" s="10">
        <f>'октябрь факт'!E14+'ноябрь факт'!E14+'декабрь факт'!E14</f>
        <v>902.027</v>
      </c>
      <c r="F14" s="19">
        <f>'октябрь факт'!F14+'ноябрь факт'!F14+'декабрь факт'!F14</f>
        <v>1830.7060000000001</v>
      </c>
    </row>
    <row r="15" spans="1:6" s="2" customFormat="1" ht="35.25" customHeight="1">
      <c r="A15" s="86" t="s">
        <v>6</v>
      </c>
      <c r="B15" s="5">
        <f t="shared" si="0"/>
        <v>4664.687000000001</v>
      </c>
      <c r="C15" s="23">
        <f>C16+C17</f>
        <v>4664.687000000001</v>
      </c>
      <c r="D15" s="23">
        <f>D16+D17</f>
        <v>0</v>
      </c>
      <c r="E15" s="23">
        <f>E16+E17</f>
        <v>0</v>
      </c>
      <c r="F15" s="24">
        <f>F16+F17</f>
        <v>0</v>
      </c>
    </row>
    <row r="16" spans="1:6" s="2" customFormat="1" ht="19.5" customHeight="1">
      <c r="A16" s="36" t="s">
        <v>18</v>
      </c>
      <c r="B16" s="5">
        <f t="shared" si="0"/>
        <v>4663.2880000000005</v>
      </c>
      <c r="C16" s="8">
        <f>'октябрь факт'!C16+'ноябрь факт'!C16+'декабрь факт'!C16</f>
        <v>4663.2880000000005</v>
      </c>
      <c r="D16" s="8">
        <f>'октябрь факт'!D16+'ноябрь факт'!D16+'декабрь факт'!D16</f>
        <v>0</v>
      </c>
      <c r="E16" s="8">
        <f>'октябрь факт'!E16+'ноябрь факт'!E16+'декабрь факт'!E16</f>
        <v>0</v>
      </c>
      <c r="F16" s="9">
        <f>'октябрь факт'!F16+'ноябрь факт'!F16+'декабрь факт'!F16</f>
        <v>0</v>
      </c>
    </row>
    <row r="17" spans="1:6" s="2" customFormat="1" ht="18" customHeight="1">
      <c r="A17" s="36" t="s">
        <v>15</v>
      </c>
      <c r="B17" s="5">
        <f t="shared" si="0"/>
        <v>1.399</v>
      </c>
      <c r="C17" s="23">
        <f>C18+C19</f>
        <v>1.399</v>
      </c>
      <c r="D17" s="23">
        <f>D18+D19</f>
        <v>0</v>
      </c>
      <c r="E17" s="23">
        <f>E18+E19</f>
        <v>0</v>
      </c>
      <c r="F17" s="24">
        <f>F18+F19</f>
        <v>0</v>
      </c>
    </row>
    <row r="18" spans="1:6" s="2" customFormat="1" ht="19.5" customHeight="1">
      <c r="A18" s="36" t="s">
        <v>16</v>
      </c>
      <c r="B18" s="5">
        <f t="shared" si="0"/>
        <v>0.515</v>
      </c>
      <c r="C18" s="10">
        <f>'октябрь факт'!C18+'ноябрь факт'!C18+'декабрь факт'!C18</f>
        <v>0.515</v>
      </c>
      <c r="D18" s="10">
        <f>'октябрь факт'!D18+'ноябрь факт'!D18+'декабрь факт'!D18</f>
        <v>0</v>
      </c>
      <c r="E18" s="10">
        <f>'октябрь факт'!E18+'ноябрь факт'!E18+'декабрь факт'!E18</f>
        <v>0</v>
      </c>
      <c r="F18" s="19">
        <f>'октябрь факт'!F18+'ноябрь факт'!F18+'декабрь факт'!F18</f>
        <v>0</v>
      </c>
    </row>
    <row r="19" spans="1:6" s="2" customFormat="1" ht="19.5" customHeight="1">
      <c r="A19" s="36" t="s">
        <v>17</v>
      </c>
      <c r="B19" s="5">
        <f t="shared" si="0"/>
        <v>0.884</v>
      </c>
      <c r="C19" s="10">
        <f>'октябрь факт'!C19+'ноябрь факт'!C19+'декабрь факт'!C19</f>
        <v>0.884</v>
      </c>
      <c r="D19" s="10">
        <f>'октябрь факт'!D19+'ноябрь факт'!D19+'декабрь факт'!D19</f>
        <v>0</v>
      </c>
      <c r="E19" s="10">
        <f>'октябрь факт'!E19+'ноябрь факт'!E19+'декабрь факт'!E19</f>
        <v>0</v>
      </c>
      <c r="F19" s="19">
        <f>'октябрь факт'!F19+'ноябрь факт'!F19+'декабрь факт'!F19</f>
        <v>0</v>
      </c>
    </row>
    <row r="20" spans="1:6" s="2" customFormat="1" ht="51" customHeight="1">
      <c r="A20" s="86" t="s">
        <v>36</v>
      </c>
      <c r="B20" s="5">
        <f t="shared" si="0"/>
        <v>2189.54</v>
      </c>
      <c r="C20" s="23">
        <f>C21+C22</f>
        <v>34.3</v>
      </c>
      <c r="D20" s="23">
        <f>D21+D22</f>
        <v>1821.645</v>
      </c>
      <c r="E20" s="23">
        <f>E21+E22</f>
        <v>64.63</v>
      </c>
      <c r="F20" s="24">
        <f>F21+F22</f>
        <v>268.965</v>
      </c>
    </row>
    <row r="21" spans="1:6" s="2" customFormat="1" ht="21.75" customHeight="1">
      <c r="A21" s="36" t="s">
        <v>18</v>
      </c>
      <c r="B21" s="5">
        <f t="shared" si="0"/>
        <v>2127.02</v>
      </c>
      <c r="C21" s="8">
        <f>'октябрь факт'!C21+'ноябрь факт'!C21+'декабрь факт'!C21</f>
        <v>34.3</v>
      </c>
      <c r="D21" s="8">
        <f>'октябрь факт'!D21+'ноябрь факт'!D21+'декабрь факт'!D21</f>
        <v>1821.645</v>
      </c>
      <c r="E21" s="8">
        <f>'октябрь факт'!E21+'ноябрь факт'!E21+'декабрь факт'!E21</f>
        <v>64.63</v>
      </c>
      <c r="F21" s="9">
        <f>'октябрь факт'!F21+'ноябрь факт'!F21+'декабрь факт'!F21</f>
        <v>206.445</v>
      </c>
    </row>
    <row r="22" spans="1:6" s="2" customFormat="1" ht="21" customHeight="1">
      <c r="A22" s="36" t="s">
        <v>15</v>
      </c>
      <c r="B22" s="5">
        <f t="shared" si="0"/>
        <v>62.519999999999996</v>
      </c>
      <c r="C22" s="23">
        <f>C23+C24</f>
        <v>0</v>
      </c>
      <c r="D22" s="23">
        <f>D23+D24</f>
        <v>0</v>
      </c>
      <c r="E22" s="23">
        <f>E23+E24</f>
        <v>0</v>
      </c>
      <c r="F22" s="24">
        <f>F23+F24</f>
        <v>62.519999999999996</v>
      </c>
    </row>
    <row r="23" spans="1:6" s="2" customFormat="1" ht="21.75" customHeight="1">
      <c r="A23" s="36" t="s">
        <v>16</v>
      </c>
      <c r="B23" s="5">
        <f t="shared" si="0"/>
        <v>62.519999999999996</v>
      </c>
      <c r="C23" s="10">
        <f>'октябрь факт'!C23+'ноябрь факт'!C23+'декабрь факт'!C23</f>
        <v>0</v>
      </c>
      <c r="D23" s="10">
        <f>'октябрь факт'!D23+'ноябрь факт'!D23+'декабрь факт'!D23</f>
        <v>0</v>
      </c>
      <c r="E23" s="10">
        <f>'октябрь факт'!E23+'ноябрь факт'!E23+'декабрь факт'!E23</f>
        <v>0</v>
      </c>
      <c r="F23" s="19">
        <f>'октябрь факт'!F23+'ноябрь факт'!F23+'декабрь факт'!F23</f>
        <v>62.519999999999996</v>
      </c>
    </row>
    <row r="24" spans="1:6" s="2" customFormat="1" ht="21" customHeight="1">
      <c r="A24" s="36" t="s">
        <v>17</v>
      </c>
      <c r="B24" s="5">
        <f t="shared" si="0"/>
        <v>0</v>
      </c>
      <c r="C24" s="10">
        <f>'октябрь факт'!C24+'ноябрь факт'!C24+'декабрь факт'!C24</f>
        <v>0</v>
      </c>
      <c r="D24" s="10">
        <f>'октябрь факт'!D24+'ноябрь факт'!D24+'декабрь факт'!D24</f>
        <v>0</v>
      </c>
      <c r="E24" s="10">
        <f>'октябрь факт'!E24+'ноябрь факт'!E24+'декабрь факт'!E24</f>
        <v>0</v>
      </c>
      <c r="F24" s="19">
        <f>'октябрь факт'!F24+'ноябрь факт'!F24+'декабрь факт'!F24</f>
        <v>0</v>
      </c>
    </row>
    <row r="25" spans="1:6" s="2" customFormat="1" ht="41.25" customHeight="1">
      <c r="A25" s="86" t="s">
        <v>8</v>
      </c>
      <c r="B25" s="5">
        <f t="shared" si="0"/>
        <v>39155.391</v>
      </c>
      <c r="C25" s="23">
        <f>C26+C27</f>
        <v>20249.79</v>
      </c>
      <c r="D25" s="23">
        <f>D26+D27</f>
        <v>0</v>
      </c>
      <c r="E25" s="23">
        <f>E26+E27</f>
        <v>6938.476</v>
      </c>
      <c r="F25" s="24">
        <f>F26+F27</f>
        <v>11967.125</v>
      </c>
    </row>
    <row r="26" spans="1:6" s="2" customFormat="1" ht="19.5" customHeight="1">
      <c r="A26" s="36" t="s">
        <v>18</v>
      </c>
      <c r="B26" s="5">
        <f t="shared" si="0"/>
        <v>31202.531000000003</v>
      </c>
      <c r="C26" s="8">
        <f>'октябрь факт'!C26+'ноябрь факт'!C26+'декабрь факт'!C26</f>
        <v>20249.79</v>
      </c>
      <c r="D26" s="8">
        <f>'октябрь факт'!D26+'ноябрь факт'!D26+'декабрь факт'!D26</f>
        <v>0</v>
      </c>
      <c r="E26" s="8">
        <f>'октябрь факт'!E26+'ноябрь факт'!E26+'декабрь факт'!E26</f>
        <v>6757.875</v>
      </c>
      <c r="F26" s="9">
        <f>'октябрь факт'!F26+'ноябрь факт'!F26+'декабрь факт'!F26</f>
        <v>4194.866</v>
      </c>
    </row>
    <row r="27" spans="1:6" s="2" customFormat="1" ht="24.75" customHeight="1">
      <c r="A27" s="36" t="s">
        <v>15</v>
      </c>
      <c r="B27" s="5">
        <f t="shared" si="0"/>
        <v>7952.86</v>
      </c>
      <c r="C27" s="23">
        <f>C28+C29</f>
        <v>0</v>
      </c>
      <c r="D27" s="23">
        <f>D28+D29</f>
        <v>0</v>
      </c>
      <c r="E27" s="23">
        <f>E28+E29</f>
        <v>180.601</v>
      </c>
      <c r="F27" s="24">
        <f>F28+F29</f>
        <v>7772.259</v>
      </c>
    </row>
    <row r="28" spans="1:6" s="2" customFormat="1" ht="25.5" customHeight="1">
      <c r="A28" s="36" t="s">
        <v>16</v>
      </c>
      <c r="B28" s="5">
        <f t="shared" si="0"/>
        <v>7859.1179999999995</v>
      </c>
      <c r="C28" s="10">
        <f>'октябрь факт'!C28+'ноябрь факт'!C28+'декабрь факт'!C28</f>
        <v>0</v>
      </c>
      <c r="D28" s="10">
        <f>'октябрь факт'!D28+'ноябрь факт'!D28+'декабрь факт'!D28</f>
        <v>0</v>
      </c>
      <c r="E28" s="10">
        <f>'октябрь факт'!E28+'ноябрь факт'!E28+'декабрь факт'!E28</f>
        <v>180.601</v>
      </c>
      <c r="F28" s="19">
        <f>'октябрь факт'!F28+'ноябрь факт'!F28+'декабрь факт'!F28</f>
        <v>7678.517</v>
      </c>
    </row>
    <row r="29" spans="1:6" s="2" customFormat="1" ht="20.25" customHeight="1">
      <c r="A29" s="36" t="s">
        <v>17</v>
      </c>
      <c r="B29" s="5">
        <f t="shared" si="0"/>
        <v>93.74199999999999</v>
      </c>
      <c r="C29" s="10">
        <f>'октябрь факт'!C29+'ноябрь факт'!C29+'декабрь факт'!C29</f>
        <v>0</v>
      </c>
      <c r="D29" s="10">
        <f>'октябрь факт'!D29+'ноябрь факт'!D29+'декабрь факт'!D29</f>
        <v>0</v>
      </c>
      <c r="E29" s="10">
        <f>'октябрь факт'!E29+'ноябрь факт'!E29+'декабрь факт'!E29</f>
        <v>0</v>
      </c>
      <c r="F29" s="19">
        <f>'октябрь факт'!F29+'ноябрь факт'!F29+'декабрь факт'!F29</f>
        <v>93.74199999999999</v>
      </c>
    </row>
    <row r="30" spans="1:6" s="2" customFormat="1" ht="50.25" customHeight="1">
      <c r="A30" s="86" t="s">
        <v>9</v>
      </c>
      <c r="B30" s="5">
        <f t="shared" si="0"/>
        <v>374.961</v>
      </c>
      <c r="C30" s="23">
        <f>C31+C32</f>
        <v>0</v>
      </c>
      <c r="D30" s="23">
        <f>D31+D32</f>
        <v>0</v>
      </c>
      <c r="E30" s="23">
        <f>E31+E32</f>
        <v>249.24900000000002</v>
      </c>
      <c r="F30" s="24">
        <f>F31+F32</f>
        <v>125.712</v>
      </c>
    </row>
    <row r="31" spans="1:6" s="2" customFormat="1" ht="22.5" customHeight="1">
      <c r="A31" s="36" t="s">
        <v>18</v>
      </c>
      <c r="B31" s="5">
        <f t="shared" si="0"/>
        <v>288.601</v>
      </c>
      <c r="C31" s="8">
        <f>'октябрь факт'!C31+'ноябрь факт'!C31+'декабрь факт'!C31</f>
        <v>0</v>
      </c>
      <c r="D31" s="8">
        <f>'октябрь факт'!D31+'ноябрь факт'!D31+'декабрь факт'!D31</f>
        <v>0</v>
      </c>
      <c r="E31" s="8">
        <f>'октябрь факт'!E31+'ноябрь факт'!E31+'декабрь факт'!E31</f>
        <v>249.24900000000002</v>
      </c>
      <c r="F31" s="9">
        <f>'октябрь факт'!F31+'ноябрь факт'!F31+'декабрь факт'!F31</f>
        <v>39.352000000000004</v>
      </c>
    </row>
    <row r="32" spans="1:6" s="2" customFormat="1" ht="24.75" customHeight="1">
      <c r="A32" s="36" t="s">
        <v>15</v>
      </c>
      <c r="B32" s="5">
        <f t="shared" si="0"/>
        <v>86.36</v>
      </c>
      <c r="C32" s="23">
        <f>C33+C34</f>
        <v>0</v>
      </c>
      <c r="D32" s="23">
        <f>D33+D34</f>
        <v>0</v>
      </c>
      <c r="E32" s="23">
        <f>E33+E34</f>
        <v>0</v>
      </c>
      <c r="F32" s="24">
        <f>F33+F34</f>
        <v>86.36</v>
      </c>
    </row>
    <row r="33" spans="1:6" s="2" customFormat="1" ht="18" customHeight="1">
      <c r="A33" s="36" t="s">
        <v>16</v>
      </c>
      <c r="B33" s="5">
        <f t="shared" si="0"/>
        <v>72.351</v>
      </c>
      <c r="C33" s="10">
        <f>'октябрь факт'!C33+'ноябрь факт'!C33+'декабрь факт'!C33</f>
        <v>0</v>
      </c>
      <c r="D33" s="10">
        <f>'октябрь факт'!D33+'ноябрь факт'!D33+'декабрь факт'!D33</f>
        <v>0</v>
      </c>
      <c r="E33" s="10">
        <f>'октябрь факт'!E33+'ноябрь факт'!E33+'декабрь факт'!E33</f>
        <v>0</v>
      </c>
      <c r="F33" s="19">
        <f>'октябрь факт'!F33+'ноябрь факт'!F33+'декабрь факт'!F33</f>
        <v>72.351</v>
      </c>
    </row>
    <row r="34" spans="1:6" s="2" customFormat="1" ht="18" customHeight="1">
      <c r="A34" s="36" t="s">
        <v>17</v>
      </c>
      <c r="B34" s="5">
        <f t="shared" si="0"/>
        <v>14.009</v>
      </c>
      <c r="C34" s="10">
        <f>'октябрь факт'!C34+'ноябрь факт'!C34+'декабрь факт'!C34</f>
        <v>0</v>
      </c>
      <c r="D34" s="10">
        <f>'октябрь факт'!D34+'ноябрь факт'!D34+'декабрь факт'!D34</f>
        <v>0</v>
      </c>
      <c r="E34" s="10">
        <f>'октябрь факт'!E34+'ноябрь факт'!E34+'декабрь факт'!E34</f>
        <v>0</v>
      </c>
      <c r="F34" s="19">
        <f>'октябрь факт'!F34+'ноябрь факт'!F34+'декабрь факт'!F34</f>
        <v>14.009</v>
      </c>
    </row>
    <row r="35" spans="1:6" s="2" customFormat="1" ht="25.5" customHeight="1">
      <c r="A35" s="86" t="s">
        <v>32</v>
      </c>
      <c r="B35" s="5">
        <f t="shared" si="0"/>
        <v>499.187</v>
      </c>
      <c r="C35" s="23">
        <f>C36+C37</f>
        <v>370.83500000000004</v>
      </c>
      <c r="D35" s="23">
        <f>D36+D37</f>
        <v>0</v>
      </c>
      <c r="E35" s="23">
        <f>E36+E37</f>
        <v>128.352</v>
      </c>
      <c r="F35" s="24">
        <f>F36+F37</f>
        <v>0</v>
      </c>
    </row>
    <row r="36" spans="1:6" s="2" customFormat="1" ht="23.25" customHeight="1">
      <c r="A36" s="36" t="s">
        <v>18</v>
      </c>
      <c r="B36" s="5">
        <f t="shared" si="0"/>
        <v>470.31300000000005</v>
      </c>
      <c r="C36" s="8">
        <f>'октябрь факт'!C36+'ноябрь факт'!C36+'декабрь факт'!C36</f>
        <v>370.83500000000004</v>
      </c>
      <c r="D36" s="8">
        <f>'октябрь факт'!D36+'ноябрь факт'!D36+'декабрь факт'!D36</f>
        <v>0</v>
      </c>
      <c r="E36" s="8">
        <f>'октябрь факт'!E36+'ноябрь факт'!E36+'декабрь факт'!E36</f>
        <v>99.478</v>
      </c>
      <c r="F36" s="9">
        <f>'октябрь факт'!F36+'ноябрь факт'!F36+'декабрь факт'!F36</f>
        <v>0</v>
      </c>
    </row>
    <row r="37" spans="1:6" s="2" customFormat="1" ht="23.25" customHeight="1">
      <c r="A37" s="36" t="s">
        <v>15</v>
      </c>
      <c r="B37" s="5">
        <f aca="true" t="shared" si="1" ref="B37:B68">C37+D37+E37+F37</f>
        <v>28.874000000000002</v>
      </c>
      <c r="C37" s="23">
        <f>C38+C39</f>
        <v>0</v>
      </c>
      <c r="D37" s="23">
        <f>D38+D39</f>
        <v>0</v>
      </c>
      <c r="E37" s="23">
        <f>E38+E39</f>
        <v>28.874000000000002</v>
      </c>
      <c r="F37" s="24">
        <f>F38+F39</f>
        <v>0</v>
      </c>
    </row>
    <row r="38" spans="1:6" s="2" customFormat="1" ht="23.25" customHeight="1">
      <c r="A38" s="36" t="s">
        <v>16</v>
      </c>
      <c r="B38" s="5">
        <f t="shared" si="1"/>
        <v>0</v>
      </c>
      <c r="C38" s="10">
        <f>'октябрь факт'!C38+'ноябрь факт'!C38+'декабрь факт'!C38</f>
        <v>0</v>
      </c>
      <c r="D38" s="10">
        <f>'октябрь факт'!D38+'ноябрь факт'!D38+'декабрь факт'!D38</f>
        <v>0</v>
      </c>
      <c r="E38" s="10">
        <f>'октябрь факт'!E38+'ноябрь факт'!E38+'декабрь факт'!E38</f>
        <v>0</v>
      </c>
      <c r="F38" s="19">
        <f>'октябрь факт'!F38+'ноябрь факт'!F38+'декабрь факт'!F38</f>
        <v>0</v>
      </c>
    </row>
    <row r="39" spans="1:6" s="2" customFormat="1" ht="23.25" customHeight="1">
      <c r="A39" s="36" t="s">
        <v>17</v>
      </c>
      <c r="B39" s="5">
        <f t="shared" si="1"/>
        <v>28.874000000000002</v>
      </c>
      <c r="C39" s="10">
        <f>'октябрь факт'!C39+'ноябрь факт'!C39+'декабрь факт'!C39</f>
        <v>0</v>
      </c>
      <c r="D39" s="10">
        <f>'октябрь факт'!D39+'ноябрь факт'!D39+'декабрь факт'!D39</f>
        <v>0</v>
      </c>
      <c r="E39" s="10">
        <f>'октябрь факт'!E39+'ноябрь факт'!E39+'декабрь факт'!E39</f>
        <v>28.874000000000002</v>
      </c>
      <c r="F39" s="19">
        <f>'октябрь факт'!F39+'ноябрь факт'!F39+'декабрь факт'!F39</f>
        <v>0</v>
      </c>
    </row>
    <row r="40" spans="1:6" s="2" customFormat="1" ht="42" customHeight="1">
      <c r="A40" s="86" t="s">
        <v>33</v>
      </c>
      <c r="B40" s="5">
        <f t="shared" si="1"/>
        <v>143.17200000000003</v>
      </c>
      <c r="C40" s="23">
        <f>C41+C42</f>
        <v>5.336</v>
      </c>
      <c r="D40" s="23">
        <f>D41+D42</f>
        <v>0</v>
      </c>
      <c r="E40" s="23">
        <f>E41+E42</f>
        <v>137.836</v>
      </c>
      <c r="F40" s="24">
        <f>F41+F42</f>
        <v>0</v>
      </c>
    </row>
    <row r="41" spans="1:6" s="2" customFormat="1" ht="19.5" customHeight="1">
      <c r="A41" s="36" t="s">
        <v>18</v>
      </c>
      <c r="B41" s="5">
        <f t="shared" si="1"/>
        <v>104.74300000000001</v>
      </c>
      <c r="C41" s="8">
        <f>'октябрь факт'!C41+'ноябрь факт'!C41+'декабрь факт'!C41</f>
        <v>5.336</v>
      </c>
      <c r="D41" s="8">
        <f>'октябрь факт'!D41+'ноябрь факт'!D41+'декабрь факт'!D41</f>
        <v>0</v>
      </c>
      <c r="E41" s="8">
        <f>'октябрь факт'!E41+'ноябрь факт'!E41+'декабрь факт'!E41</f>
        <v>99.40700000000001</v>
      </c>
      <c r="F41" s="9">
        <f>'октябрь факт'!F41+'ноябрь факт'!F41+'декабрь факт'!F41</f>
        <v>0</v>
      </c>
    </row>
    <row r="42" spans="1:6" s="2" customFormat="1" ht="19.5" customHeight="1">
      <c r="A42" s="36" t="s">
        <v>15</v>
      </c>
      <c r="B42" s="5">
        <f t="shared" si="1"/>
        <v>38.429</v>
      </c>
      <c r="C42" s="23">
        <f>C43+C44</f>
        <v>0</v>
      </c>
      <c r="D42" s="23">
        <f>D43+D44</f>
        <v>0</v>
      </c>
      <c r="E42" s="23">
        <f>E43+E44</f>
        <v>38.429</v>
      </c>
      <c r="F42" s="24">
        <f>F43+F44</f>
        <v>0</v>
      </c>
    </row>
    <row r="43" spans="1:6" s="2" customFormat="1" ht="19.5" customHeight="1">
      <c r="A43" s="36" t="s">
        <v>16</v>
      </c>
      <c r="B43" s="5">
        <f t="shared" si="1"/>
        <v>38.429</v>
      </c>
      <c r="C43" s="10">
        <f>'октябрь факт'!C43+'ноябрь факт'!C43+'декабрь факт'!C43</f>
        <v>0</v>
      </c>
      <c r="D43" s="10">
        <f>'октябрь факт'!D43+'ноябрь факт'!D43+'декабрь факт'!D43</f>
        <v>0</v>
      </c>
      <c r="E43" s="10">
        <f>'октябрь факт'!E43+'ноябрь факт'!E43+'декабрь факт'!E43</f>
        <v>38.429</v>
      </c>
      <c r="F43" s="19">
        <f>'октябрь факт'!F43+'ноябрь факт'!F43+'декабрь факт'!F43</f>
        <v>0</v>
      </c>
    </row>
    <row r="44" spans="1:6" s="2" customFormat="1" ht="19.5" customHeight="1">
      <c r="A44" s="36" t="s">
        <v>17</v>
      </c>
      <c r="B44" s="5">
        <f t="shared" si="1"/>
        <v>0</v>
      </c>
      <c r="C44" s="10">
        <f>'октябрь факт'!C44+'ноябрь факт'!C44+'декабрь факт'!C44</f>
        <v>0</v>
      </c>
      <c r="D44" s="10">
        <f>'октябрь факт'!D44+'ноябрь факт'!D44+'декабрь факт'!D44</f>
        <v>0</v>
      </c>
      <c r="E44" s="10">
        <f>'октябрь факт'!E44+'ноябрь факт'!E44+'декабрь факт'!E44</f>
        <v>0</v>
      </c>
      <c r="F44" s="19">
        <f>'октябрь факт'!F44+'ноябрь факт'!F44+'декабрь факт'!F44</f>
        <v>0</v>
      </c>
    </row>
    <row r="45" spans="1:6" s="2" customFormat="1" ht="24.75" customHeight="1">
      <c r="A45" s="86" t="s">
        <v>10</v>
      </c>
      <c r="B45" s="5">
        <f t="shared" si="1"/>
        <v>3291.58</v>
      </c>
      <c r="C45" s="23">
        <f>C46+C47</f>
        <v>0</v>
      </c>
      <c r="D45" s="23">
        <f>D46+D47</f>
        <v>0</v>
      </c>
      <c r="E45" s="23">
        <f>E46+E47</f>
        <v>1434.816</v>
      </c>
      <c r="F45" s="24">
        <f>F46+F47</f>
        <v>1856.7639999999997</v>
      </c>
    </row>
    <row r="46" spans="1:6" s="2" customFormat="1" ht="24.75" customHeight="1">
      <c r="A46" s="36" t="s">
        <v>18</v>
      </c>
      <c r="B46" s="5">
        <f t="shared" si="1"/>
        <v>1809.1979999999999</v>
      </c>
      <c r="C46" s="8">
        <f>'октябрь факт'!C46+'ноябрь факт'!C46+'декабрь факт'!C46</f>
        <v>0</v>
      </c>
      <c r="D46" s="8">
        <f>'октябрь факт'!D46+'ноябрь факт'!D46+'декабрь факт'!D46</f>
        <v>0</v>
      </c>
      <c r="E46" s="8">
        <f>'октябрь факт'!E46+'ноябрь факт'!E46+'декабрь факт'!E46</f>
        <v>1268.123</v>
      </c>
      <c r="F46" s="9">
        <f>'октябрь факт'!F46+'ноябрь факт'!F46+'декабрь факт'!F46</f>
        <v>541.0749999999999</v>
      </c>
    </row>
    <row r="47" spans="1:6" s="2" customFormat="1" ht="24.75" customHeight="1">
      <c r="A47" s="36" t="s">
        <v>15</v>
      </c>
      <c r="B47" s="5">
        <f t="shared" si="1"/>
        <v>1482.3819999999998</v>
      </c>
      <c r="C47" s="23">
        <f>C48+C49</f>
        <v>0</v>
      </c>
      <c r="D47" s="23">
        <f>D48+D49</f>
        <v>0</v>
      </c>
      <c r="E47" s="23">
        <f>E48+E49</f>
        <v>166.693</v>
      </c>
      <c r="F47" s="24">
        <f>F48+F49</f>
        <v>1315.6889999999999</v>
      </c>
    </row>
    <row r="48" spans="1:6" s="2" customFormat="1" ht="24.75" customHeight="1">
      <c r="A48" s="36" t="s">
        <v>16</v>
      </c>
      <c r="B48" s="5">
        <f t="shared" si="1"/>
        <v>1191.9669999999999</v>
      </c>
      <c r="C48" s="10">
        <f>'октябрь факт'!C48+'ноябрь факт'!C48+'декабрь факт'!C48</f>
        <v>0</v>
      </c>
      <c r="D48" s="10">
        <f>'октябрь факт'!D48+'ноябрь факт'!D48+'декабрь факт'!D48</f>
        <v>0</v>
      </c>
      <c r="E48" s="10">
        <f>'октябрь факт'!E48+'ноябрь факт'!E48+'декабрь факт'!E48</f>
        <v>162.69400000000002</v>
      </c>
      <c r="F48" s="19">
        <f>'октябрь факт'!F48+'ноябрь факт'!F48+'декабрь факт'!F48</f>
        <v>1029.273</v>
      </c>
    </row>
    <row r="49" spans="1:6" s="2" customFormat="1" ht="24.75" customHeight="1">
      <c r="A49" s="36" t="s">
        <v>17</v>
      </c>
      <c r="B49" s="5">
        <f t="shared" si="1"/>
        <v>290.415</v>
      </c>
      <c r="C49" s="10">
        <f>'октябрь факт'!C49+'ноябрь факт'!C49+'декабрь факт'!C49</f>
        <v>0</v>
      </c>
      <c r="D49" s="10">
        <f>'октябрь факт'!D49+'ноябрь факт'!D49+'декабрь факт'!D49</f>
        <v>0</v>
      </c>
      <c r="E49" s="10">
        <f>'октябрь факт'!E49+'ноябрь факт'!E49+'декабрь факт'!E49</f>
        <v>3.999</v>
      </c>
      <c r="F49" s="19">
        <f>'октябрь факт'!F49+'ноябрь факт'!F49+'декабрь факт'!F49</f>
        <v>286.416</v>
      </c>
    </row>
    <row r="50" spans="1:6" s="2" customFormat="1" ht="24.75" customHeight="1">
      <c r="A50" s="86" t="s">
        <v>5</v>
      </c>
      <c r="B50" s="5">
        <f t="shared" si="1"/>
        <v>9121.207</v>
      </c>
      <c r="C50" s="23">
        <f>C51+C52</f>
        <v>1105.751</v>
      </c>
      <c r="D50" s="23">
        <f>D51+D52</f>
        <v>0</v>
      </c>
      <c r="E50" s="23">
        <f>E51+E52</f>
        <v>5060.555</v>
      </c>
      <c r="F50" s="24">
        <f>F51+F52</f>
        <v>2954.901</v>
      </c>
    </row>
    <row r="51" spans="1:6" s="2" customFormat="1" ht="24.75" customHeight="1">
      <c r="A51" s="36" t="s">
        <v>18</v>
      </c>
      <c r="B51" s="5">
        <f t="shared" si="1"/>
        <v>5707.524</v>
      </c>
      <c r="C51" s="8">
        <f>'октябрь факт'!C51+'ноябрь факт'!C51+'декабрь факт'!C51</f>
        <v>1105.751</v>
      </c>
      <c r="D51" s="8">
        <f>'октябрь факт'!D51+'ноябрь факт'!D51+'декабрь факт'!D51</f>
        <v>0</v>
      </c>
      <c r="E51" s="8">
        <f>'октябрь факт'!E51+'ноябрь факт'!E51+'декабрь факт'!E51</f>
        <v>3397.858</v>
      </c>
      <c r="F51" s="9">
        <f>'октябрь факт'!F51+'ноябрь факт'!F51+'декабрь факт'!F51</f>
        <v>1203.915</v>
      </c>
    </row>
    <row r="52" spans="1:6" s="2" customFormat="1" ht="24.75" customHeight="1">
      <c r="A52" s="36" t="s">
        <v>15</v>
      </c>
      <c r="B52" s="5">
        <f t="shared" si="1"/>
        <v>3413.683</v>
      </c>
      <c r="C52" s="23">
        <f>C53+C54</f>
        <v>0</v>
      </c>
      <c r="D52" s="23">
        <f>D53+D54</f>
        <v>0</v>
      </c>
      <c r="E52" s="23">
        <f>E53+E54</f>
        <v>1662.6970000000001</v>
      </c>
      <c r="F52" s="24">
        <f>F53+F54</f>
        <v>1750.9859999999999</v>
      </c>
    </row>
    <row r="53" spans="1:6" s="2" customFormat="1" ht="24.75" customHeight="1">
      <c r="A53" s="36" t="s">
        <v>16</v>
      </c>
      <c r="B53" s="5">
        <f t="shared" si="1"/>
        <v>3391.603</v>
      </c>
      <c r="C53" s="10">
        <f>'октябрь факт'!C53+'ноябрь факт'!C53+'декабрь факт'!C53</f>
        <v>0</v>
      </c>
      <c r="D53" s="10">
        <f>'октябрь факт'!D53+'ноябрь факт'!D53+'декабрь факт'!D53</f>
        <v>0</v>
      </c>
      <c r="E53" s="10">
        <f>'октябрь факт'!E53+'ноябрь факт'!E53+'декабрь факт'!E53</f>
        <v>1640.6170000000002</v>
      </c>
      <c r="F53" s="19">
        <f>'октябрь факт'!F53+'ноябрь факт'!F53+'декабрь факт'!F53</f>
        <v>1750.9859999999999</v>
      </c>
    </row>
    <row r="54" spans="1:6" s="2" customFormat="1" ht="24.75" customHeight="1">
      <c r="A54" s="36" t="s">
        <v>17</v>
      </c>
      <c r="B54" s="5">
        <f t="shared" si="1"/>
        <v>22.08</v>
      </c>
      <c r="C54" s="10">
        <f>'октябрь факт'!C54+'ноябрь факт'!C54+'декабрь факт'!C54</f>
        <v>0</v>
      </c>
      <c r="D54" s="10">
        <f>'октябрь факт'!D54+'ноябрь факт'!D54+'декабрь факт'!D54</f>
        <v>0</v>
      </c>
      <c r="E54" s="10">
        <f>'октябрь факт'!E54+'ноябрь факт'!E54+'декабрь факт'!E54</f>
        <v>22.08</v>
      </c>
      <c r="F54" s="19">
        <f>'октябрь факт'!F54+'ноябрь факт'!F54+'декабрь факт'!F54</f>
        <v>0</v>
      </c>
    </row>
    <row r="55" spans="1:6" s="2" customFormat="1" ht="50.25" customHeight="1">
      <c r="A55" s="86" t="s">
        <v>11</v>
      </c>
      <c r="B55" s="5">
        <f t="shared" si="1"/>
        <v>19052.014</v>
      </c>
      <c r="C55" s="23">
        <f>C56+C57</f>
        <v>0</v>
      </c>
      <c r="D55" s="23">
        <f>D56+D57</f>
        <v>0</v>
      </c>
      <c r="E55" s="23">
        <f>E56+E57</f>
        <v>4376.5509999999995</v>
      </c>
      <c r="F55" s="24">
        <f>F56+F57</f>
        <v>14675.463</v>
      </c>
    </row>
    <row r="56" spans="1:6" s="2" customFormat="1" ht="26.25" customHeight="1">
      <c r="A56" s="36" t="s">
        <v>18</v>
      </c>
      <c r="B56" s="5">
        <f t="shared" si="1"/>
        <v>9646.85</v>
      </c>
      <c r="C56" s="8">
        <f>'октябрь факт'!C56+'ноябрь факт'!C56+'декабрь факт'!C56</f>
        <v>0</v>
      </c>
      <c r="D56" s="8">
        <f>'октябрь факт'!D56+'ноябрь факт'!D56+'декабрь факт'!D56</f>
        <v>0</v>
      </c>
      <c r="E56" s="8">
        <f>'октябрь факт'!E56+'ноябрь факт'!E56+'декабрь факт'!E56</f>
        <v>4221.544</v>
      </c>
      <c r="F56" s="9">
        <f>'октябрь факт'!F56+'ноябрь факт'!F56+'декабрь факт'!F56</f>
        <v>5425.3060000000005</v>
      </c>
    </row>
    <row r="57" spans="1:6" s="2" customFormat="1" ht="26.25" customHeight="1">
      <c r="A57" s="36" t="s">
        <v>15</v>
      </c>
      <c r="B57" s="5">
        <f t="shared" si="1"/>
        <v>9405.163999999999</v>
      </c>
      <c r="C57" s="23">
        <f>C58+C59</f>
        <v>0</v>
      </c>
      <c r="D57" s="23">
        <f>D58+D59</f>
        <v>0</v>
      </c>
      <c r="E57" s="23">
        <f>E58+E59</f>
        <v>155.007</v>
      </c>
      <c r="F57" s="24">
        <f>F58+F59</f>
        <v>9250.157</v>
      </c>
    </row>
    <row r="58" spans="1:6" s="2" customFormat="1" ht="26.25" customHeight="1">
      <c r="A58" s="36" t="s">
        <v>16</v>
      </c>
      <c r="B58" s="5">
        <f t="shared" si="1"/>
        <v>2307.544</v>
      </c>
      <c r="C58" s="10">
        <f>'октябрь факт'!C58+'ноябрь факт'!C58+'декабрь факт'!C58</f>
        <v>0</v>
      </c>
      <c r="D58" s="10">
        <f>'октябрь факт'!D58+'ноябрь факт'!D58+'декабрь факт'!D58</f>
        <v>0</v>
      </c>
      <c r="E58" s="10">
        <f>'октябрь факт'!E58+'ноябрь факт'!E58+'декабрь факт'!E58</f>
        <v>75.853</v>
      </c>
      <c r="F58" s="19">
        <f>'октябрь факт'!F58+'ноябрь факт'!F58+'декабрь факт'!F58</f>
        <v>2231.691</v>
      </c>
    </row>
    <row r="59" spans="1:6" s="2" customFormat="1" ht="26.25" customHeight="1">
      <c r="A59" s="36" t="s">
        <v>17</v>
      </c>
      <c r="B59" s="5">
        <f t="shared" si="1"/>
        <v>7097.620000000001</v>
      </c>
      <c r="C59" s="10">
        <f>'октябрь факт'!C59+'ноябрь факт'!C59+'декабрь факт'!C59</f>
        <v>0</v>
      </c>
      <c r="D59" s="10">
        <f>'октябрь факт'!D59+'ноябрь факт'!D59+'декабрь факт'!D59</f>
        <v>0</v>
      </c>
      <c r="E59" s="10">
        <f>'октябрь факт'!E59+'ноябрь факт'!E59+'декабрь факт'!E59</f>
        <v>79.154</v>
      </c>
      <c r="F59" s="19">
        <f>'октябрь факт'!F59+'ноябрь факт'!F59+'декабрь факт'!F59</f>
        <v>7018.466</v>
      </c>
    </row>
    <row r="60" spans="1:6" s="2" customFormat="1" ht="24.75" customHeight="1">
      <c r="A60" s="87" t="s">
        <v>39</v>
      </c>
      <c r="B60" s="5">
        <f t="shared" si="1"/>
        <v>462.797</v>
      </c>
      <c r="C60" s="23">
        <f>C61+C62</f>
        <v>0</v>
      </c>
      <c r="D60" s="23">
        <f>D61+D62</f>
        <v>0</v>
      </c>
      <c r="E60" s="23">
        <f>E61+E62</f>
        <v>208.38600000000002</v>
      </c>
      <c r="F60" s="24">
        <f>F61+F62</f>
        <v>254.411</v>
      </c>
    </row>
    <row r="61" spans="1:6" s="2" customFormat="1" ht="21.75" customHeight="1">
      <c r="A61" s="36" t="s">
        <v>18</v>
      </c>
      <c r="B61" s="5">
        <f t="shared" si="1"/>
        <v>462.797</v>
      </c>
      <c r="C61" s="8">
        <f>'октябрь факт'!C61+'ноябрь факт'!C61+'декабрь факт'!C61</f>
        <v>0</v>
      </c>
      <c r="D61" s="8">
        <f>'октябрь факт'!D61+'ноябрь факт'!D61+'декабрь факт'!D61</f>
        <v>0</v>
      </c>
      <c r="E61" s="8">
        <f>'октябрь факт'!E61+'ноябрь факт'!E61+'декабрь факт'!E61</f>
        <v>208.38600000000002</v>
      </c>
      <c r="F61" s="9">
        <f>'октябрь факт'!F61+'ноябрь факт'!F61+'декабрь факт'!F61</f>
        <v>254.411</v>
      </c>
    </row>
    <row r="62" spans="1:6" s="2" customFormat="1" ht="16.5" customHeight="1">
      <c r="A62" s="36" t="s">
        <v>15</v>
      </c>
      <c r="B62" s="5">
        <f t="shared" si="1"/>
        <v>0</v>
      </c>
      <c r="C62" s="23">
        <f>C63+C64</f>
        <v>0</v>
      </c>
      <c r="D62" s="23">
        <f>D63+D64</f>
        <v>0</v>
      </c>
      <c r="E62" s="23">
        <f>E63+E64</f>
        <v>0</v>
      </c>
      <c r="F62" s="24">
        <f>F63+F64</f>
        <v>0</v>
      </c>
    </row>
    <row r="63" spans="1:6" s="2" customFormat="1" ht="18" customHeight="1">
      <c r="A63" s="36" t="s">
        <v>16</v>
      </c>
      <c r="B63" s="5">
        <f t="shared" si="1"/>
        <v>0</v>
      </c>
      <c r="C63" s="10">
        <f>'октябрь факт'!C63+'ноябрь факт'!C63+'декабрь факт'!C63</f>
        <v>0</v>
      </c>
      <c r="D63" s="10">
        <f>'октябрь факт'!D63+'ноябрь факт'!D63+'декабрь факт'!D63</f>
        <v>0</v>
      </c>
      <c r="E63" s="10">
        <f>'октябрь факт'!E63+'ноябрь факт'!E63+'декабрь факт'!E63</f>
        <v>0</v>
      </c>
      <c r="F63" s="19">
        <f>'октябрь факт'!F63+'ноябрь факт'!F63+'декабрь факт'!F63</f>
        <v>0</v>
      </c>
    </row>
    <row r="64" spans="1:6" s="2" customFormat="1" ht="18" customHeight="1">
      <c r="A64" s="36" t="s">
        <v>17</v>
      </c>
      <c r="B64" s="5">
        <f t="shared" si="1"/>
        <v>0</v>
      </c>
      <c r="C64" s="10">
        <f>'октябрь факт'!C64+'ноябрь факт'!C64+'декабрь факт'!C64</f>
        <v>0</v>
      </c>
      <c r="D64" s="10">
        <f>'октябрь факт'!D64+'ноябрь факт'!D64+'декабрь факт'!D64</f>
        <v>0</v>
      </c>
      <c r="E64" s="10">
        <f>'октябрь факт'!E64+'ноябрь факт'!E64+'декабрь факт'!E64</f>
        <v>0</v>
      </c>
      <c r="F64" s="19">
        <f>'октябрь факт'!F64+'ноябрь факт'!F64+'декабрь факт'!F64</f>
        <v>0</v>
      </c>
    </row>
    <row r="65" spans="1:6" s="2" customFormat="1" ht="24.75" customHeight="1">
      <c r="A65" s="87" t="s">
        <v>4</v>
      </c>
      <c r="B65" s="5">
        <f t="shared" si="1"/>
        <v>2623.8810000000003</v>
      </c>
      <c r="C65" s="23">
        <f>C66+C67</f>
        <v>2623.8810000000003</v>
      </c>
      <c r="D65" s="23">
        <f>D66+D67</f>
        <v>0</v>
      </c>
      <c r="E65" s="23">
        <f>E66+E67</f>
        <v>0</v>
      </c>
      <c r="F65" s="24">
        <f>F66+F67</f>
        <v>0</v>
      </c>
    </row>
    <row r="66" spans="1:6" s="2" customFormat="1" ht="21.75" customHeight="1">
      <c r="A66" s="36" t="s">
        <v>18</v>
      </c>
      <c r="B66" s="5">
        <f t="shared" si="1"/>
        <v>2623.8810000000003</v>
      </c>
      <c r="C66" s="8">
        <f>'октябрь факт'!C66+'ноябрь факт'!C66+'декабрь факт'!C66</f>
        <v>2623.8810000000003</v>
      </c>
      <c r="D66" s="8">
        <f>'октябрь факт'!D66+'ноябрь факт'!D66+'декабрь факт'!D66</f>
        <v>0</v>
      </c>
      <c r="E66" s="8">
        <f>'октябрь факт'!E66+'ноябрь факт'!E66+'декабрь факт'!E66</f>
        <v>0</v>
      </c>
      <c r="F66" s="9">
        <f>'октябрь факт'!F66+'ноябрь факт'!F66+'декабрь факт'!F66</f>
        <v>0</v>
      </c>
    </row>
    <row r="67" spans="1:6" s="2" customFormat="1" ht="18" customHeight="1">
      <c r="A67" s="36" t="s">
        <v>15</v>
      </c>
      <c r="B67" s="5">
        <f t="shared" si="1"/>
        <v>0</v>
      </c>
      <c r="C67" s="23">
        <f>C68+C69</f>
        <v>0</v>
      </c>
      <c r="D67" s="23">
        <f>D68+D69</f>
        <v>0</v>
      </c>
      <c r="E67" s="23">
        <f>E68+E69</f>
        <v>0</v>
      </c>
      <c r="F67" s="24">
        <f>F68+F69</f>
        <v>0</v>
      </c>
    </row>
    <row r="68" spans="1:6" s="2" customFormat="1" ht="19.5" customHeight="1">
      <c r="A68" s="36" t="s">
        <v>16</v>
      </c>
      <c r="B68" s="5">
        <f t="shared" si="1"/>
        <v>0</v>
      </c>
      <c r="C68" s="10">
        <f>'октябрь факт'!C68+'ноябрь факт'!C68+'декабрь факт'!C68</f>
        <v>0</v>
      </c>
      <c r="D68" s="10">
        <f>'октябрь факт'!D68+'ноябрь факт'!D68+'декабрь факт'!D68</f>
        <v>0</v>
      </c>
      <c r="E68" s="10">
        <f>'октябрь факт'!E68+'ноябрь факт'!E68+'декабрь факт'!E68</f>
        <v>0</v>
      </c>
      <c r="F68" s="19">
        <f>'октябрь факт'!F68+'ноябрь факт'!F68+'декабрь факт'!F68</f>
        <v>0</v>
      </c>
    </row>
    <row r="69" spans="1:6" s="2" customFormat="1" ht="19.5" customHeight="1" thickBot="1">
      <c r="A69" s="37" t="s">
        <v>17</v>
      </c>
      <c r="B69" s="72">
        <f aca="true" t="shared" si="2" ref="B69:B78">C69+D69+E69+F69</f>
        <v>0</v>
      </c>
      <c r="C69" s="221">
        <f>'октябрь факт'!C69+'ноябрь факт'!C69+'декабрь факт'!C69</f>
        <v>0</v>
      </c>
      <c r="D69" s="221">
        <f>'октябрь факт'!D69+'ноябрь факт'!D69+'декабрь факт'!D69</f>
        <v>0</v>
      </c>
      <c r="E69" s="221">
        <f>'октябрь факт'!E69+'ноябрь факт'!E69+'декабрь факт'!E69</f>
        <v>0</v>
      </c>
      <c r="F69" s="222">
        <f>'октябрь факт'!F69+'ноябрь факт'!F69+'декабрь факт'!F69</f>
        <v>0</v>
      </c>
    </row>
    <row r="70" spans="1:6" s="6" customFormat="1" ht="25.5" customHeight="1">
      <c r="A70" s="140" t="s">
        <v>26</v>
      </c>
      <c r="B70" s="95">
        <f t="shared" si="2"/>
        <v>1632.088</v>
      </c>
      <c r="C70" s="74">
        <f>'октябрь факт'!C70+'ноябрь факт'!C70+'декабрь факт'!C70</f>
        <v>0</v>
      </c>
      <c r="D70" s="74">
        <f>'октябрь факт'!D70+'ноябрь факт'!D70+'декабрь факт'!D70</f>
        <v>0</v>
      </c>
      <c r="E70" s="74">
        <f>'октябрь факт'!E70+'ноябрь факт'!E70+'декабрь факт'!E70</f>
        <v>1632.088</v>
      </c>
      <c r="F70" s="75">
        <f>'октябрь факт'!F70+'ноябрь факт'!F70+'декабрь факт'!F70</f>
        <v>0</v>
      </c>
    </row>
    <row r="71" spans="1:6" s="3" customFormat="1" ht="18">
      <c r="A71" s="54" t="s">
        <v>27</v>
      </c>
      <c r="B71" s="5">
        <f t="shared" si="2"/>
        <v>192.142</v>
      </c>
      <c r="C71" s="10">
        <f>'октябрь факт'!C71+'ноябрь факт'!C71+'декабрь факт'!C71</f>
        <v>0</v>
      </c>
      <c r="D71" s="10">
        <f>'октябрь факт'!D71+'ноябрь факт'!D71+'декабрь факт'!D71</f>
        <v>0</v>
      </c>
      <c r="E71" s="10">
        <f>'октябрь факт'!E71+'ноябрь факт'!E71+'декабрь факт'!E71</f>
        <v>192.142</v>
      </c>
      <c r="F71" s="19">
        <f>'октябрь факт'!F71+'ноябрь факт'!F71+'декабрь факт'!F71</f>
        <v>0</v>
      </c>
    </row>
    <row r="72" spans="1:6" s="3" customFormat="1" ht="18">
      <c r="A72" s="54" t="s">
        <v>34</v>
      </c>
      <c r="B72" s="5">
        <f t="shared" si="2"/>
        <v>2122.0950000000003</v>
      </c>
      <c r="C72" s="10">
        <f>'октябрь факт'!C72+'ноябрь факт'!C72+'декабрь факт'!C72</f>
        <v>0</v>
      </c>
      <c r="D72" s="10">
        <f>'октябрь факт'!D72+'ноябрь факт'!D72+'декабрь факт'!D72</f>
        <v>0</v>
      </c>
      <c r="E72" s="10">
        <f>'октябрь факт'!E72+'ноябрь факт'!E72+'декабрь факт'!E72</f>
        <v>1869.6950000000002</v>
      </c>
      <c r="F72" s="19">
        <f>'октябрь факт'!F72+'ноябрь факт'!F72+'декабрь факт'!F72</f>
        <v>252.39999999999998</v>
      </c>
    </row>
    <row r="73" spans="1:6" s="70" customFormat="1" ht="23.25" customHeight="1">
      <c r="A73" s="62" t="s">
        <v>35</v>
      </c>
      <c r="B73" s="5">
        <f t="shared" si="2"/>
        <v>5894.08</v>
      </c>
      <c r="C73" s="10">
        <f>'октябрь факт'!C73+'ноябрь факт'!C73+'декабрь факт'!C73</f>
        <v>3764.3900000000003</v>
      </c>
      <c r="D73" s="10">
        <f>'октябрь факт'!D73+'ноябрь факт'!D73+'декабрь факт'!D73</f>
        <v>0</v>
      </c>
      <c r="E73" s="10">
        <f>'октябрь факт'!E73+'ноябрь факт'!E73+'декабрь факт'!E73</f>
        <v>2087.04</v>
      </c>
      <c r="F73" s="19">
        <f>'октябрь факт'!F73+'ноябрь факт'!F73+'декабрь факт'!F73</f>
        <v>42.65</v>
      </c>
    </row>
    <row r="74" spans="1:6" s="70" customFormat="1" ht="23.25" customHeight="1">
      <c r="A74" s="54" t="s">
        <v>28</v>
      </c>
      <c r="B74" s="5">
        <f t="shared" si="2"/>
        <v>2574.6240000000003</v>
      </c>
      <c r="C74" s="10">
        <f>'октябрь факт'!C74+'ноябрь факт'!C74+'декабрь факт'!C74</f>
        <v>1707.774</v>
      </c>
      <c r="D74" s="10">
        <f>'октябрь факт'!D74+'ноябрь факт'!D74+'декабрь факт'!D74</f>
        <v>0</v>
      </c>
      <c r="E74" s="10">
        <f>'октябрь факт'!E74+'ноябрь факт'!E74+'декабрь факт'!E74</f>
        <v>500.722</v>
      </c>
      <c r="F74" s="19">
        <f>'октябрь факт'!F74+'ноябрь факт'!F74+'декабрь факт'!F74</f>
        <v>366.12800000000004</v>
      </c>
    </row>
    <row r="75" spans="1:6" s="70" customFormat="1" ht="23.25" customHeight="1">
      <c r="A75" s="62" t="s">
        <v>29</v>
      </c>
      <c r="B75" s="104">
        <f t="shared" si="2"/>
        <v>1851.1460000000002</v>
      </c>
      <c r="C75" s="10">
        <f>'октябрь факт'!C75+'ноябрь факт'!C75+'декабрь факт'!C75</f>
        <v>0</v>
      </c>
      <c r="D75" s="10">
        <f>'октябрь факт'!D75+'ноябрь факт'!D75+'декабрь факт'!D75</f>
        <v>0</v>
      </c>
      <c r="E75" s="10">
        <f>'октябрь факт'!E75+'ноябрь факт'!E75+'декабрь факт'!E75</f>
        <v>1851.1460000000002</v>
      </c>
      <c r="F75" s="19">
        <f>'октябрь факт'!F75+'ноябрь факт'!F75+'декабрь факт'!F75</f>
        <v>0</v>
      </c>
    </row>
    <row r="76" spans="1:6" s="70" customFormat="1" ht="23.25" customHeight="1">
      <c r="A76" s="105" t="s">
        <v>30</v>
      </c>
      <c r="B76" s="104">
        <f t="shared" si="2"/>
        <v>205.042</v>
      </c>
      <c r="C76" s="10">
        <f>'октябрь факт'!C76+'ноябрь факт'!C76+'декабрь факт'!C76</f>
        <v>0</v>
      </c>
      <c r="D76" s="10">
        <f>'октябрь факт'!D76+'ноябрь факт'!D76+'декабрь факт'!D76</f>
        <v>0</v>
      </c>
      <c r="E76" s="10">
        <f>'октябрь факт'!E76+'ноябрь факт'!E76+'декабрь факт'!E76</f>
        <v>0</v>
      </c>
      <c r="F76" s="19">
        <f>'октябрь факт'!F76+'ноябрь факт'!F76+'декабрь факт'!F76</f>
        <v>205.042</v>
      </c>
    </row>
    <row r="77" spans="1:6" s="70" customFormat="1" ht="23.25" customHeight="1" thickBot="1">
      <c r="A77" s="106" t="s">
        <v>31</v>
      </c>
      <c r="B77" s="107">
        <f t="shared" si="2"/>
        <v>798.9689999999999</v>
      </c>
      <c r="C77" s="30">
        <f>'октябрь факт'!C77+'ноябрь факт'!C77+'декабрь факт'!C77</f>
        <v>0</v>
      </c>
      <c r="D77" s="30">
        <f>'октябрь факт'!D77+'ноябрь факт'!D77+'декабрь факт'!D77</f>
        <v>0</v>
      </c>
      <c r="E77" s="30">
        <f>'октябрь факт'!E77+'ноябрь факт'!E77+'декабрь факт'!E77</f>
        <v>40.333999999999996</v>
      </c>
      <c r="F77" s="31">
        <f>'октябрь факт'!F77+'ноябрь факт'!F77+'декабрь факт'!F77</f>
        <v>758.635</v>
      </c>
    </row>
    <row r="78" spans="1:6" s="70" customFormat="1" ht="23.25" customHeight="1" thickBot="1">
      <c r="A78" s="110" t="s">
        <v>40</v>
      </c>
      <c r="B78" s="88">
        <f t="shared" si="2"/>
        <v>389808.233</v>
      </c>
      <c r="C78" s="89">
        <f>C5+C10+C15+C20+C25+C30+C35+C40+C45+C50+C55+C60+C65+C70+C71+C72+C73+C74+C75+C76+C77</f>
        <v>155708.82100000003</v>
      </c>
      <c r="D78" s="89">
        <f>D5+D10+D15+D20+D25+D30+D35+D40+D45+D50+D55+D60+D65+D70+D71+D72+D73+D74+D75+D76+D77</f>
        <v>6281.4220000000005</v>
      </c>
      <c r="E78" s="89">
        <f>E5+E10+E15+E20+E25+E30+E35+E40+E45+E50+E55+E60+E65+E70+E71+E72+E73+E74+E75+E76+E77</f>
        <v>106744.90000000001</v>
      </c>
      <c r="F78" s="89">
        <f>F5+F10+F15+F20+F25+F30+F35+F40+F45+F50+F55+F60+F65+F70+F71+F72+F73+F74+F75+F76+F77</f>
        <v>121073.08999999998</v>
      </c>
    </row>
    <row r="79" spans="1:6" s="70" customFormat="1" ht="23.25" customHeight="1">
      <c r="A79" s="3"/>
      <c r="B79" s="3"/>
      <c r="C79" s="3"/>
      <c r="D79" s="3"/>
      <c r="E79" s="3"/>
      <c r="F79" s="3"/>
    </row>
    <row r="80" spans="1:6" s="70" customFormat="1" ht="23.25" customHeight="1">
      <c r="A80" s="3"/>
      <c r="B80" s="3"/>
      <c r="C80" s="3"/>
      <c r="D80" s="3"/>
      <c r="E80" s="3"/>
      <c r="F80" s="3"/>
    </row>
    <row r="81" spans="1:6" s="70" customFormat="1" ht="33" customHeight="1">
      <c r="A81" s="3"/>
      <c r="B81" s="3"/>
      <c r="C81" s="3"/>
      <c r="D81" s="3"/>
      <c r="E81" s="3"/>
      <c r="F81" s="3"/>
    </row>
    <row r="82" spans="1:6" s="70" customFormat="1" ht="38.25" customHeight="1">
      <c r="A82" s="3"/>
      <c r="B82" s="3"/>
      <c r="C82" s="3"/>
      <c r="D82" s="3"/>
      <c r="E82" s="3"/>
      <c r="F82" s="3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9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7" sqref="C37"/>
    </sheetView>
  </sheetViews>
  <sheetFormatPr defaultColWidth="9.00390625" defaultRowHeight="12.75"/>
  <cols>
    <col min="1" max="1" width="50.125" style="0" customWidth="1"/>
    <col min="2" max="6" width="26.625" style="0" customWidth="1"/>
    <col min="7" max="7" width="21.375" style="0" customWidth="1"/>
    <col min="8" max="8" width="23.625" style="0" customWidth="1"/>
    <col min="9" max="9" width="17.75390625" style="0" customWidth="1"/>
    <col min="10" max="10" width="20.125" style="0" customWidth="1"/>
    <col min="11" max="12" width="17.75390625" style="0" customWidth="1"/>
    <col min="13" max="14" width="17.25390625" style="0" customWidth="1"/>
  </cols>
  <sheetData>
    <row r="1" spans="1:6" s="70" customFormat="1" ht="23.25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63</v>
      </c>
      <c r="B2" s="239"/>
      <c r="C2" s="239"/>
      <c r="D2" s="241"/>
      <c r="E2" s="241"/>
      <c r="F2" s="241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37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57" customHeight="1">
      <c r="A5" s="152" t="s">
        <v>7</v>
      </c>
      <c r="B5" s="95">
        <f aca="true" t="shared" si="0" ref="B5:B68">C5+D5+E5+F5</f>
        <v>1003147.7350000001</v>
      </c>
      <c r="C5" s="210">
        <f>C6+C7</f>
        <v>446404.55000000005</v>
      </c>
      <c r="D5" s="210">
        <f>D6+D7</f>
        <v>16672.873</v>
      </c>
      <c r="E5" s="210">
        <f>E6+E7</f>
        <v>248004.382</v>
      </c>
      <c r="F5" s="211">
        <f>F6+F7</f>
        <v>292065.93</v>
      </c>
    </row>
    <row r="6" spans="1:6" s="2" customFormat="1" ht="27" customHeight="1">
      <c r="A6" s="21" t="s">
        <v>18</v>
      </c>
      <c r="B6" s="5">
        <f t="shared" si="0"/>
        <v>820757.7960000001</v>
      </c>
      <c r="C6" s="8">
        <f>'январь факт'!C6+'февраль факт'!C6+'март фaкт'!C6+'апрель фaкт'!C6+'май факт'!C6+'июнь факт'!C6+'июль факт'!C6+'август  факт'!C6+'сентябрь  факт'!C6+'октябрь факт'!C6+'ноябрь факт'!C6+'декабрь факт'!C6</f>
        <v>442985.08300000004</v>
      </c>
      <c r="D6" s="8">
        <f>'январь факт'!D6+'февраль факт'!D6+'март фaкт'!D6+'апрель фaкт'!D6+'май факт'!D6+'июнь факт'!D6+'июль факт'!D6+'август  факт'!D6+'сентябрь  факт'!D6+'октябрь факт'!D6+'ноябрь факт'!D6+'декабрь факт'!D6</f>
        <v>16658.843</v>
      </c>
      <c r="E6" s="8">
        <f>'январь факт'!E6+'февраль факт'!E6+'март фaкт'!E6+'апрель фaкт'!E6+'май факт'!E6+'июнь факт'!E6+'июль факт'!E6+'август  факт'!E6+'сентябрь  факт'!E6+'октябрь факт'!E6+'ноябрь факт'!E6+'декабрь факт'!E6</f>
        <v>239224.46000000002</v>
      </c>
      <c r="F6" s="9">
        <f>'январь факт'!F6+'февраль факт'!F6+'март фaкт'!F6+'апрель фaкт'!F6+'май факт'!F6+'июнь факт'!F6+'июль факт'!F6+'август  факт'!F6+'сентябрь  факт'!F6+'октябрь факт'!F6+'ноябрь факт'!F6+'декабрь факт'!F6</f>
        <v>121889.41</v>
      </c>
    </row>
    <row r="7" spans="1:6" s="2" customFormat="1" ht="20.25" customHeight="1">
      <c r="A7" s="21" t="s">
        <v>15</v>
      </c>
      <c r="B7" s="5">
        <f t="shared" si="0"/>
        <v>182389.93899999998</v>
      </c>
      <c r="C7" s="23">
        <f>C8+C9</f>
        <v>3419.467</v>
      </c>
      <c r="D7" s="23">
        <f>D8+D9</f>
        <v>14.030000000000001</v>
      </c>
      <c r="E7" s="23">
        <f>E8+E9</f>
        <v>8779.922</v>
      </c>
      <c r="F7" s="24">
        <f>F8+F9</f>
        <v>170176.52</v>
      </c>
    </row>
    <row r="8" spans="1:6" s="2" customFormat="1" ht="21.75" customHeight="1">
      <c r="A8" s="21" t="s">
        <v>16</v>
      </c>
      <c r="B8" s="5">
        <f t="shared" si="0"/>
        <v>52479.94699999999</v>
      </c>
      <c r="C8" s="10">
        <f>'январь факт'!C8+'февраль факт'!C8+'март фaкт'!C8+'апрель фaкт'!C8+'май факт'!C8+'июнь факт'!C8+'июль факт'!C8+'август  факт'!C8+'сентябрь  факт'!C8+'октябрь факт'!C8+'ноябрь факт'!C8+'декабрь факт'!C8</f>
        <v>659.9810000000001</v>
      </c>
      <c r="D8" s="10">
        <f>'январь факт'!D8+'февраль факт'!D8+'март фaкт'!D8+'апрель фaкт'!D8+'май факт'!D8+'июнь факт'!D8+'июль факт'!D8+'август  факт'!D8+'сентябрь  факт'!D8+'октябрь факт'!D8+'ноябрь факт'!D8+'декабрь факт'!D8</f>
        <v>0</v>
      </c>
      <c r="E8" s="10">
        <f>'январь факт'!E8+'февраль факт'!E8+'март фaкт'!E8+'апрель фaкт'!E8+'май факт'!E8+'июнь факт'!E8+'июль факт'!E8+'август  факт'!E8+'сентябрь  факт'!E8+'октябрь факт'!E8+'ноябрь факт'!E8+'декабрь факт'!E8</f>
        <v>1326.4669999999999</v>
      </c>
      <c r="F8" s="19">
        <f>'январь факт'!F8+'февраль факт'!F8+'март фaкт'!F8+'апрель фaкт'!F8+'май факт'!F8+'июнь факт'!F8+'июль факт'!F8+'август  факт'!F8+'сентябрь  факт'!F8+'октябрь факт'!F8+'ноябрь факт'!F8+'декабрь факт'!F8</f>
        <v>50493.498999999996</v>
      </c>
    </row>
    <row r="9" spans="1:6" s="2" customFormat="1" ht="24.75" customHeight="1">
      <c r="A9" s="21" t="s">
        <v>17</v>
      </c>
      <c r="B9" s="5">
        <f t="shared" si="0"/>
        <v>129909.992</v>
      </c>
      <c r="C9" s="10">
        <f>'январь факт'!C9+'февраль факт'!C9+'март фaкт'!C9+'апрель фaкт'!C9+'май факт'!C9+'июнь факт'!C9+'июль факт'!C9+'август  факт'!C9+'сентябрь  факт'!C9+'октябрь факт'!C9+'ноябрь факт'!C9+'декабрь факт'!C9</f>
        <v>2759.486</v>
      </c>
      <c r="D9" s="10">
        <f>'январь факт'!D9+'февраль факт'!D9+'март фaкт'!D9+'апрель фaкт'!D9+'май факт'!D9+'июнь факт'!D9+'июль факт'!D9+'август  факт'!D9+'сентябрь  факт'!D9+'октябрь факт'!D9+'ноябрь факт'!D9+'декабрь факт'!D9</f>
        <v>14.030000000000001</v>
      </c>
      <c r="E9" s="10">
        <f>'январь факт'!E9+'февраль факт'!E9+'март фaкт'!E9+'апрель фaкт'!E9+'май факт'!E9+'июнь факт'!E9+'июль факт'!E9+'август  факт'!E9+'сентябрь  факт'!E9+'октябрь факт'!E9+'ноябрь факт'!E9+'декабрь факт'!E9</f>
        <v>7453.455000000001</v>
      </c>
      <c r="F9" s="19">
        <f>'январь факт'!F9+'февраль факт'!F9+'март фaкт'!F9+'апрель фaкт'!F9+'май факт'!F9+'июнь факт'!F9+'июль факт'!F9+'август  факт'!F9+'сентябрь  факт'!F9+'октябрь факт'!F9+'ноябрь факт'!F9+'декабрь факт'!F9</f>
        <v>119683.021</v>
      </c>
    </row>
    <row r="10" spans="1:6" s="2" customFormat="1" ht="47.25" customHeight="1">
      <c r="A10" s="153" t="s">
        <v>13</v>
      </c>
      <c r="B10" s="5">
        <f t="shared" si="0"/>
        <v>68146.02799999999</v>
      </c>
      <c r="C10" s="23">
        <f>C11+C12</f>
        <v>9846.19</v>
      </c>
      <c r="D10" s="23">
        <f>D11+D12</f>
        <v>0</v>
      </c>
      <c r="E10" s="23">
        <f>E11+E12</f>
        <v>24458.822</v>
      </c>
      <c r="F10" s="24">
        <f>F11+F12</f>
        <v>33841.015999999996</v>
      </c>
    </row>
    <row r="11" spans="1:6" s="2" customFormat="1" ht="21.75" customHeight="1">
      <c r="A11" s="21" t="s">
        <v>18</v>
      </c>
      <c r="B11" s="5">
        <f t="shared" si="0"/>
        <v>43104.445</v>
      </c>
      <c r="C11" s="8">
        <f>'январь факт'!C11+'февраль факт'!C11+'март фaкт'!C11+'апрель фaкт'!C11+'май факт'!C11+'июнь факт'!C11+'июль факт'!C11+'август  факт'!C11+'сентябрь  факт'!C11+'октябрь факт'!C11+'ноябрь факт'!C11+'декабрь факт'!C11</f>
        <v>8860.391</v>
      </c>
      <c r="D11" s="8">
        <f>'январь факт'!D11+'февраль факт'!D11+'март фaкт'!D11+'апрель фaкт'!D11+'май факт'!D11+'июнь факт'!D11+'июль факт'!D11+'август  факт'!D11+'сентябрь  факт'!D11+'октябрь факт'!D11+'ноябрь факт'!D11+'декабрь факт'!D11</f>
        <v>0</v>
      </c>
      <c r="E11" s="8">
        <f>'январь факт'!E11+'февраль факт'!E11+'март фaкт'!E11+'апрель фaкт'!E11+'май факт'!E11+'июнь факт'!E11+'июль факт'!E11+'август  факт'!E11+'сентябрь  факт'!E11+'октябрь факт'!E11+'ноябрь факт'!E11+'декабрь факт'!E11</f>
        <v>20613.892</v>
      </c>
      <c r="F11" s="9">
        <f>'январь факт'!F11+'февраль факт'!F11+'март фaкт'!F11+'апрель фaкт'!F11+'май факт'!F11+'июнь факт'!F11+'июль факт'!F11+'август  факт'!F11+'сентябрь  факт'!F11+'октябрь факт'!F11+'ноябрь факт'!F11+'декабрь факт'!F11</f>
        <v>13630.161999999998</v>
      </c>
    </row>
    <row r="12" spans="1:6" s="2" customFormat="1" ht="19.5" customHeight="1">
      <c r="A12" s="21" t="s">
        <v>15</v>
      </c>
      <c r="B12" s="5">
        <f t="shared" si="0"/>
        <v>25041.583</v>
      </c>
      <c r="C12" s="23">
        <f>C13+C14</f>
        <v>985.7990000000001</v>
      </c>
      <c r="D12" s="23">
        <f>D13+D14</f>
        <v>0</v>
      </c>
      <c r="E12" s="23">
        <f>E13+E14</f>
        <v>3844.9300000000003</v>
      </c>
      <c r="F12" s="24">
        <f>F13+F14</f>
        <v>20210.854</v>
      </c>
    </row>
    <row r="13" spans="1:6" s="2" customFormat="1" ht="17.25" customHeight="1">
      <c r="A13" s="21" t="s">
        <v>16</v>
      </c>
      <c r="B13" s="5">
        <f t="shared" si="0"/>
        <v>14151.552999999998</v>
      </c>
      <c r="C13" s="10">
        <f>'январь факт'!C13+'февраль факт'!C13+'март фaкт'!C13+'апрель фaкт'!C13+'май факт'!C13+'июнь факт'!C13+'июль факт'!C13+'август  факт'!C13+'сентябрь  факт'!C13+'октябрь факт'!C13+'ноябрь факт'!C13+'декабрь факт'!C13</f>
        <v>0</v>
      </c>
      <c r="D13" s="10">
        <f>'январь факт'!D13+'февраль факт'!D13+'март фaкт'!D13+'апрель фaкт'!D13+'май факт'!D13+'июнь факт'!D13+'июль факт'!D13+'август  факт'!D13+'сентябрь  факт'!D13+'октябрь факт'!D13+'ноябрь факт'!D13+'декабрь факт'!D13</f>
        <v>0</v>
      </c>
      <c r="E13" s="10">
        <f>'январь факт'!E13+'февраль факт'!E13+'март фaкт'!E13+'апрель фaкт'!E13+'май факт'!E13+'июнь факт'!E13+'июль факт'!E13+'август  факт'!E13+'сентябрь  факт'!E13+'октябрь факт'!E13+'ноябрь факт'!E13+'декабрь факт'!E13</f>
        <v>676.787</v>
      </c>
      <c r="F13" s="19">
        <f>'январь факт'!F13+'февраль факт'!F13+'март фaкт'!F13+'апрель фaкт'!F13+'май факт'!F13+'июнь факт'!F13+'июль факт'!F13+'август  факт'!F13+'сентябрь  факт'!F13+'октябрь факт'!F13+'ноябрь факт'!F13+'декабрь факт'!F13</f>
        <v>13474.765999999998</v>
      </c>
    </row>
    <row r="14" spans="1:6" s="2" customFormat="1" ht="17.25" customHeight="1">
      <c r="A14" s="21" t="s">
        <v>17</v>
      </c>
      <c r="B14" s="5">
        <f t="shared" si="0"/>
        <v>10890.03</v>
      </c>
      <c r="C14" s="10">
        <f>'январь факт'!C14+'февраль факт'!C14+'март фaкт'!C14+'апрель фaкт'!C14+'май факт'!C14+'июнь факт'!C14+'июль факт'!C14+'август  факт'!C14+'сентябрь  факт'!C14+'октябрь факт'!C14+'ноябрь факт'!C14+'декабрь факт'!C14</f>
        <v>985.7990000000001</v>
      </c>
      <c r="D14" s="10">
        <f>'январь факт'!D14+'февраль факт'!D14+'март фaкт'!D14+'апрель фaкт'!D14+'май факт'!D14+'июнь факт'!D14+'июль факт'!D14+'август  факт'!D14+'сентябрь  факт'!D14+'октябрь факт'!D14+'ноябрь факт'!D14+'декабрь факт'!D14</f>
        <v>0</v>
      </c>
      <c r="E14" s="10">
        <f>'январь факт'!E14+'февраль факт'!E14+'март фaкт'!E14+'апрель фaкт'!E14+'май факт'!E14+'июнь факт'!E14+'июль факт'!E14+'август  факт'!E14+'сентябрь  факт'!E14+'октябрь факт'!E14+'ноябрь факт'!E14+'декабрь факт'!E14</f>
        <v>3168.143</v>
      </c>
      <c r="F14" s="19">
        <f>'январь факт'!F14+'февраль факт'!F14+'март фaкт'!F14+'апрель фaкт'!F14+'май факт'!F14+'июнь факт'!F14+'июль факт'!F14+'август  факт'!F14+'сентябрь  факт'!F14+'октябрь факт'!F14+'ноябрь факт'!F14+'декабрь факт'!F14</f>
        <v>6736.088000000001</v>
      </c>
    </row>
    <row r="15" spans="1:6" s="2" customFormat="1" ht="35.25" customHeight="1">
      <c r="A15" s="153" t="s">
        <v>6</v>
      </c>
      <c r="B15" s="5">
        <f t="shared" si="0"/>
        <v>16815.619</v>
      </c>
      <c r="C15" s="23">
        <f>C16+C17</f>
        <v>16815.619</v>
      </c>
      <c r="D15" s="23">
        <f>D16+D17</f>
        <v>0</v>
      </c>
      <c r="E15" s="23">
        <f>E16+E17</f>
        <v>0</v>
      </c>
      <c r="F15" s="24">
        <f>F16+F17</f>
        <v>0</v>
      </c>
    </row>
    <row r="16" spans="1:6" s="2" customFormat="1" ht="19.5" customHeight="1">
      <c r="A16" s="21" t="s">
        <v>18</v>
      </c>
      <c r="B16" s="5">
        <f t="shared" si="0"/>
        <v>16811.447</v>
      </c>
      <c r="C16" s="8">
        <f>'январь факт'!C16+'февраль факт'!C16+'март фaкт'!C16+'апрель фaкт'!C16+'май факт'!C16+'июнь факт'!C16+'июль факт'!C16+'август  факт'!C16+'сентябрь  факт'!C16+'октябрь факт'!C16+'ноябрь факт'!C16+'декабрь факт'!C16</f>
        <v>16811.447</v>
      </c>
      <c r="D16" s="8">
        <f>'январь факт'!D16+'февраль факт'!D16+'март фaкт'!D16+'апрель фaкт'!D16+'май факт'!D16+'июнь факт'!D16+'июль факт'!D16+'август  факт'!D16+'сентябрь  факт'!D16+'октябрь факт'!D16+'ноябрь факт'!D16+'декабрь факт'!D16</f>
        <v>0</v>
      </c>
      <c r="E16" s="8">
        <f>'январь факт'!E16+'февраль факт'!E16+'март фaкт'!E16+'апрель фaкт'!E16+'май факт'!E16+'июнь факт'!E16+'июль факт'!E16+'август  факт'!E16+'сентябрь  факт'!E16+'октябрь факт'!E16+'ноябрь факт'!E16+'декабрь факт'!E16</f>
        <v>0</v>
      </c>
      <c r="F16" s="9">
        <f>'январь факт'!F16+'февраль факт'!F16+'март фaкт'!F16+'апрель фaкт'!F16+'май факт'!F16+'июнь факт'!F16+'июль факт'!F16+'август  факт'!F16+'сентябрь  факт'!F16+'октябрь факт'!F16+'ноябрь факт'!F16+'декабрь факт'!F16</f>
        <v>0</v>
      </c>
    </row>
    <row r="17" spans="1:6" s="2" customFormat="1" ht="18" customHeight="1">
      <c r="A17" s="21" t="s">
        <v>15</v>
      </c>
      <c r="B17" s="5">
        <f t="shared" si="0"/>
        <v>4.172</v>
      </c>
      <c r="C17" s="23">
        <f>C18+C19</f>
        <v>4.172</v>
      </c>
      <c r="D17" s="23">
        <f>D18+D19</f>
        <v>0</v>
      </c>
      <c r="E17" s="23">
        <f>E18+E19</f>
        <v>0</v>
      </c>
      <c r="F17" s="24">
        <f>F18+F19</f>
        <v>0</v>
      </c>
    </row>
    <row r="18" spans="1:6" s="2" customFormat="1" ht="19.5" customHeight="1">
      <c r="A18" s="21" t="s">
        <v>16</v>
      </c>
      <c r="B18" s="5">
        <f t="shared" si="0"/>
        <v>3.2879999999999994</v>
      </c>
      <c r="C18" s="10">
        <f>'январь факт'!C18+'февраль факт'!C18+'март фaкт'!C18+'апрель фaкт'!C18+'май факт'!C18+'июнь факт'!C18+'июль факт'!C18+'август  факт'!C18+'сентябрь  факт'!C18+'октябрь факт'!C18+'ноябрь факт'!C18+'декабрь факт'!C18</f>
        <v>3.2879999999999994</v>
      </c>
      <c r="D18" s="10">
        <f>'январь факт'!D18+'февраль факт'!D18+'март фaкт'!D18+'апрель фaкт'!D18+'май факт'!D18+'июнь факт'!D18+'июль факт'!D18+'август  факт'!D18+'сентябрь  факт'!D18+'октябрь факт'!D18+'ноябрь факт'!D18+'декабрь факт'!D18</f>
        <v>0</v>
      </c>
      <c r="E18" s="10">
        <f>'январь факт'!E18+'февраль факт'!E18+'март фaкт'!E18+'апрель фaкт'!E18+'май факт'!E18+'июнь факт'!E18+'июль факт'!E18+'август  факт'!E18+'сентябрь  факт'!E18+'октябрь факт'!E18+'ноябрь факт'!E18+'декабрь факт'!E18</f>
        <v>0</v>
      </c>
      <c r="F18" s="19">
        <f>'январь факт'!F18+'февраль факт'!F18+'март фaкт'!F18+'апрель фaкт'!F18+'май факт'!F18+'июнь факт'!F18+'июль факт'!F18+'август  факт'!F18+'сентябрь  факт'!F18+'октябрь факт'!F18+'ноябрь факт'!F18+'декабрь факт'!F18</f>
        <v>0</v>
      </c>
    </row>
    <row r="19" spans="1:6" s="2" customFormat="1" ht="19.5" customHeight="1">
      <c r="A19" s="21" t="s">
        <v>17</v>
      </c>
      <c r="B19" s="5">
        <f t="shared" si="0"/>
        <v>0.884</v>
      </c>
      <c r="C19" s="10">
        <f>'январь факт'!C19+'февраль факт'!C19+'март фaкт'!C19+'апрель фaкт'!C19+'май факт'!C19+'июнь факт'!C19+'июль факт'!C19+'август  факт'!C19+'сентябрь  факт'!C19+'октябрь факт'!C19+'ноябрь факт'!C19+'декабрь факт'!C19</f>
        <v>0.884</v>
      </c>
      <c r="D19" s="10">
        <f>'январь факт'!D19+'февраль факт'!D19+'март фaкт'!D19+'апрель фaкт'!D19+'май факт'!D19+'июнь факт'!D19+'июль факт'!D19+'август  факт'!D19+'сентябрь  факт'!D19+'октябрь факт'!D19+'ноябрь факт'!D19+'декабрь факт'!D19</f>
        <v>0</v>
      </c>
      <c r="E19" s="10">
        <f>'январь факт'!E19+'февраль факт'!E19+'март фaкт'!E19+'апрель фaкт'!E19+'май факт'!E19+'июнь факт'!E19+'июль факт'!E19+'август  факт'!E19+'сентябрь  факт'!E19+'октябрь факт'!E19+'ноябрь факт'!E19+'декабрь факт'!E19</f>
        <v>0</v>
      </c>
      <c r="F19" s="19">
        <f>'январь факт'!F19+'февраль факт'!F19+'март фaкт'!F19+'апрель фaкт'!F19+'май факт'!F19+'июнь факт'!F19+'июль факт'!F19+'август  факт'!F19+'сентябрь  факт'!F19+'октябрь факт'!F19+'ноябрь факт'!F19+'декабрь факт'!F19</f>
        <v>0</v>
      </c>
    </row>
    <row r="20" spans="1:6" s="2" customFormat="1" ht="51" customHeight="1">
      <c r="A20" s="153" t="s">
        <v>36</v>
      </c>
      <c r="B20" s="5">
        <f t="shared" si="0"/>
        <v>7486.008999999999</v>
      </c>
      <c r="C20" s="23">
        <f>C21+C22</f>
        <v>128.74</v>
      </c>
      <c r="D20" s="23">
        <f>D21+D22</f>
        <v>6058.905</v>
      </c>
      <c r="E20" s="23">
        <f>E21+E22</f>
        <v>352.717</v>
      </c>
      <c r="F20" s="24">
        <f>F21+F22</f>
        <v>945.647</v>
      </c>
    </row>
    <row r="21" spans="1:6" s="2" customFormat="1" ht="21.75" customHeight="1">
      <c r="A21" s="21" t="s">
        <v>18</v>
      </c>
      <c r="B21" s="5">
        <f t="shared" si="0"/>
        <v>7251.5289999999995</v>
      </c>
      <c r="C21" s="8">
        <f>'январь факт'!C21+'февраль факт'!C21+'март фaкт'!C21+'апрель фaкт'!C21+'май факт'!C21+'июнь факт'!C21+'июль факт'!C21+'август  факт'!C21+'сентябрь  факт'!C21+'октябрь факт'!C21+'ноябрь факт'!C21+'декабрь факт'!C21</f>
        <v>128.74</v>
      </c>
      <c r="D21" s="8">
        <f>'январь факт'!D21+'февраль факт'!D21+'март фaкт'!D21+'апрель фaкт'!D21+'май факт'!D21+'июнь факт'!D21+'июль факт'!D21+'август  факт'!D21+'сентябрь  факт'!D21+'октябрь факт'!D21+'ноябрь факт'!D21+'декабрь факт'!D21</f>
        <v>6058.905</v>
      </c>
      <c r="E21" s="8">
        <f>'январь факт'!E21+'февраль факт'!E21+'март фaкт'!E21+'апрель фaкт'!E21+'май факт'!E21+'июнь факт'!E21+'июль факт'!E21+'август  факт'!E21+'сентябрь  факт'!E21+'октябрь факт'!E21+'ноябрь факт'!E21+'декабрь факт'!E21</f>
        <v>352.717</v>
      </c>
      <c r="F21" s="9">
        <f>'январь факт'!F21+'февраль факт'!F21+'март фaкт'!F21+'апрель фaкт'!F21+'май факт'!F21+'июнь факт'!F21+'июль факт'!F21+'август  факт'!F21+'сентябрь  факт'!F21+'октябрь факт'!F21+'ноябрь факт'!F21+'декабрь факт'!F21</f>
        <v>711.167</v>
      </c>
    </row>
    <row r="22" spans="1:6" s="2" customFormat="1" ht="21" customHeight="1">
      <c r="A22" s="21" t="s">
        <v>15</v>
      </c>
      <c r="B22" s="5">
        <f t="shared" si="0"/>
        <v>234.48</v>
      </c>
      <c r="C22" s="23">
        <f>C23+C24</f>
        <v>0</v>
      </c>
      <c r="D22" s="23">
        <f>D23+D24</f>
        <v>0</v>
      </c>
      <c r="E22" s="23">
        <f>E23+E24</f>
        <v>0</v>
      </c>
      <c r="F22" s="24">
        <f>F23+F24</f>
        <v>234.48</v>
      </c>
    </row>
    <row r="23" spans="1:6" s="2" customFormat="1" ht="21.75" customHeight="1">
      <c r="A23" s="21" t="s">
        <v>16</v>
      </c>
      <c r="B23" s="5">
        <f t="shared" si="0"/>
        <v>234.48</v>
      </c>
      <c r="C23" s="10">
        <f>'январь факт'!C23+'февраль факт'!C23+'март фaкт'!C23+'апрель фaкт'!C23+'май факт'!C23+'июнь факт'!C23+'июль факт'!C23+'август  факт'!C23+'сентябрь  факт'!C23+'октябрь факт'!C23+'ноябрь факт'!C23+'декабрь факт'!C23</f>
        <v>0</v>
      </c>
      <c r="D23" s="10">
        <f>'январь факт'!D23+'февраль факт'!D23+'март фaкт'!D23+'апрель фaкт'!D23+'май факт'!D23+'июнь факт'!D23+'июль факт'!D23+'август  факт'!D23+'сентябрь  факт'!D23+'октябрь факт'!D23+'ноябрь факт'!D23+'декабрь факт'!D23</f>
        <v>0</v>
      </c>
      <c r="E23" s="10">
        <f>'январь факт'!E23+'февраль факт'!E23+'март фaкт'!E23+'апрель фaкт'!E23+'май факт'!E23+'июнь факт'!E23+'июль факт'!E23+'август  факт'!E23+'сентябрь  факт'!E23+'октябрь факт'!E23+'ноябрь факт'!E23+'декабрь факт'!E23</f>
        <v>0</v>
      </c>
      <c r="F23" s="19">
        <f>'январь факт'!F23+'февраль факт'!F23+'март фaкт'!F23+'апрель фaкт'!F23+'май факт'!F23+'июнь факт'!F23+'июль факт'!F23+'август  факт'!F23+'сентябрь  факт'!F23+'октябрь факт'!F23+'ноябрь факт'!F23+'декабрь факт'!F23</f>
        <v>234.48</v>
      </c>
    </row>
    <row r="24" spans="1:6" s="2" customFormat="1" ht="21" customHeight="1">
      <c r="A24" s="21" t="s">
        <v>17</v>
      </c>
      <c r="B24" s="5">
        <f t="shared" si="0"/>
        <v>0</v>
      </c>
      <c r="C24" s="10">
        <f>'январь факт'!C24+'февраль факт'!C24+'март фaкт'!C24+'апрель фaкт'!C24+'май факт'!C24+'июнь факт'!C24+'июль факт'!C24+'август  факт'!C24+'сентябрь  факт'!C24+'октябрь факт'!C24+'ноябрь факт'!C24+'декабрь факт'!C24</f>
        <v>0</v>
      </c>
      <c r="D24" s="10">
        <f>'январь факт'!D24+'февраль факт'!D24+'март фaкт'!D24+'апрель фaкт'!D24+'май факт'!D24+'июнь факт'!D24+'июль факт'!D24+'август  факт'!D24+'сентябрь  факт'!D24+'октябрь факт'!D24+'ноябрь факт'!D24+'декабрь факт'!D24</f>
        <v>0</v>
      </c>
      <c r="E24" s="10">
        <f>'январь факт'!E24+'февраль факт'!E24+'март фaкт'!E24+'апрель фaкт'!E24+'май факт'!E24+'июнь факт'!E24+'июль факт'!E24+'август  факт'!E24+'сентябрь  факт'!E24+'октябрь факт'!E24+'ноябрь факт'!E24+'декабрь факт'!E24</f>
        <v>0</v>
      </c>
      <c r="F24" s="19">
        <f>'январь факт'!F24+'февраль факт'!F24+'март фaкт'!F24+'апрель фaкт'!F24+'май факт'!F24+'июнь факт'!F24+'июль факт'!F24+'август  факт'!F24+'сентябрь  факт'!F24+'октябрь факт'!F24+'ноябрь факт'!F24+'декабрь факт'!F24</f>
        <v>0</v>
      </c>
    </row>
    <row r="25" spans="1:6" s="2" customFormat="1" ht="41.25" customHeight="1">
      <c r="A25" s="153" t="s">
        <v>8</v>
      </c>
      <c r="B25" s="5">
        <f t="shared" si="0"/>
        <v>149413.909</v>
      </c>
      <c r="C25" s="23">
        <f>C26+C27</f>
        <v>81856.201</v>
      </c>
      <c r="D25" s="23">
        <f>D26+D27</f>
        <v>0</v>
      </c>
      <c r="E25" s="23">
        <f>E26+E27</f>
        <v>24643.262000000002</v>
      </c>
      <c r="F25" s="24">
        <f>F26+F27</f>
        <v>42914.446</v>
      </c>
    </row>
    <row r="26" spans="1:6" s="2" customFormat="1" ht="19.5" customHeight="1">
      <c r="A26" s="21" t="s">
        <v>18</v>
      </c>
      <c r="B26" s="5">
        <f t="shared" si="0"/>
        <v>120391.064</v>
      </c>
      <c r="C26" s="8">
        <f>'январь факт'!C26+'февраль факт'!C26+'март фaкт'!C26+'апрель фaкт'!C26+'май факт'!C26+'июнь факт'!C26+'июль факт'!C26+'август  факт'!C26+'сентябрь  факт'!C26+'октябрь факт'!C26+'ноябрь факт'!C26+'декабрь факт'!C26</f>
        <v>81856.201</v>
      </c>
      <c r="D26" s="8">
        <f>'январь факт'!D26+'февраль факт'!D26+'март фaкт'!D26+'апрель фaкт'!D26+'май факт'!D26+'июнь факт'!D26+'июль факт'!D26+'август  факт'!D26+'сентябрь  факт'!D26+'октябрь факт'!D26+'ноябрь факт'!D26+'декабрь факт'!D26</f>
        <v>0</v>
      </c>
      <c r="E26" s="8">
        <f>'январь факт'!E26+'февраль факт'!E26+'март фaкт'!E26+'апрель фaкт'!E26+'май факт'!E26+'июнь факт'!E26+'июль факт'!E26+'август  факт'!E26+'сентябрь  факт'!E26+'октябрь факт'!E26+'ноябрь факт'!E26+'декабрь факт'!E26</f>
        <v>24164.313000000002</v>
      </c>
      <c r="F26" s="9">
        <f>'январь факт'!F26+'февраль факт'!F26+'март фaкт'!F26+'апрель фaкт'!F26+'май факт'!F26+'июнь факт'!F26+'июль факт'!F26+'август  факт'!F26+'сентябрь  факт'!F26+'октябрь факт'!F26+'ноябрь факт'!F26+'декабрь факт'!F26</f>
        <v>14370.549999999997</v>
      </c>
    </row>
    <row r="27" spans="1:6" s="2" customFormat="1" ht="24.75" customHeight="1">
      <c r="A27" s="21" t="s">
        <v>15</v>
      </c>
      <c r="B27" s="5">
        <f t="shared" si="0"/>
        <v>29022.845000000005</v>
      </c>
      <c r="C27" s="23">
        <f>C28+C29</f>
        <v>0</v>
      </c>
      <c r="D27" s="23">
        <f>D28+D29</f>
        <v>0</v>
      </c>
      <c r="E27" s="23">
        <f>E28+E29</f>
        <v>478.94899999999996</v>
      </c>
      <c r="F27" s="24">
        <f>F28+F29</f>
        <v>28543.896000000004</v>
      </c>
    </row>
    <row r="28" spans="1:6" s="2" customFormat="1" ht="25.5" customHeight="1">
      <c r="A28" s="21" t="s">
        <v>16</v>
      </c>
      <c r="B28" s="5">
        <f t="shared" si="0"/>
        <v>28667.355000000003</v>
      </c>
      <c r="C28" s="10">
        <f>'январь факт'!C28+'февраль факт'!C28+'март фaкт'!C28+'апрель фaкт'!C28+'май факт'!C28+'июнь факт'!C28+'июль факт'!C28+'август  факт'!C28+'сентябрь  факт'!C28+'октябрь факт'!C28+'ноябрь факт'!C28+'декабрь факт'!C28</f>
        <v>0</v>
      </c>
      <c r="D28" s="10">
        <f>'январь факт'!D28+'февраль факт'!D28+'март фaкт'!D28+'апрель фaкт'!D28+'май факт'!D28+'июнь факт'!D28+'июль факт'!D28+'август  факт'!D28+'сентябрь  факт'!D28+'октябрь факт'!D28+'ноябрь факт'!D28+'декабрь факт'!D28</f>
        <v>0</v>
      </c>
      <c r="E28" s="10">
        <f>'январь факт'!E28+'февраль факт'!E28+'март фaкт'!E28+'апрель фaкт'!E28+'май факт'!E28+'июнь факт'!E28+'июль факт'!E28+'август  факт'!E28+'сентябрь  факт'!E28+'октябрь факт'!E28+'ноябрь факт'!E28+'декабрь факт'!E28</f>
        <v>478.94899999999996</v>
      </c>
      <c r="F28" s="19">
        <f>'январь факт'!F28+'февраль факт'!F28+'март фaкт'!F28+'апрель фaкт'!F28+'май факт'!F28+'июнь факт'!F28+'июль факт'!F28+'август  факт'!F28+'сентябрь  факт'!F28+'октябрь факт'!F28+'ноябрь факт'!F28+'декабрь факт'!F28</f>
        <v>28188.406000000003</v>
      </c>
    </row>
    <row r="29" spans="1:6" s="2" customFormat="1" ht="20.25" customHeight="1">
      <c r="A29" s="21" t="s">
        <v>17</v>
      </c>
      <c r="B29" s="5">
        <f t="shared" si="0"/>
        <v>355.49</v>
      </c>
      <c r="C29" s="10">
        <f>'январь факт'!C29+'февраль факт'!C29+'март фaкт'!C29+'апрель фaкт'!C29+'май факт'!C29+'июнь факт'!C29+'июль факт'!C29+'август  факт'!C29+'сентябрь  факт'!C29+'октябрь факт'!C29+'ноябрь факт'!C29+'декабрь факт'!C29</f>
        <v>0</v>
      </c>
      <c r="D29" s="10">
        <f>'январь факт'!D29+'февраль факт'!D29+'март фaкт'!D29+'апрель фaкт'!D29+'май факт'!D29+'июнь факт'!D29+'июль факт'!D29+'август  факт'!D29+'сентябрь  факт'!D29+'октябрь факт'!D29+'ноябрь факт'!D29+'декабрь факт'!D29</f>
        <v>0</v>
      </c>
      <c r="E29" s="10">
        <f>'январь факт'!E29+'февраль факт'!E29+'март фaкт'!E29+'апрель фaкт'!E29+'май факт'!E29+'июнь факт'!E29+'июль факт'!E29+'август  факт'!E29+'сентябрь  факт'!E29+'октябрь факт'!E29+'ноябрь факт'!E29+'декабрь факт'!E29</f>
        <v>0</v>
      </c>
      <c r="F29" s="19">
        <f>'январь факт'!F29+'февраль факт'!F29+'март фaкт'!F29+'апрель фaкт'!F29+'май факт'!F29+'июнь факт'!F29+'июль факт'!F29+'август  факт'!F29+'сентябрь  факт'!F29+'октябрь факт'!F29+'ноябрь факт'!F29+'декабрь факт'!F29</f>
        <v>355.49</v>
      </c>
    </row>
    <row r="30" spans="1:6" s="2" customFormat="1" ht="50.25" customHeight="1">
      <c r="A30" s="153" t="s">
        <v>9</v>
      </c>
      <c r="B30" s="5">
        <f t="shared" si="0"/>
        <v>1460.85</v>
      </c>
      <c r="C30" s="23">
        <f>C31+C32</f>
        <v>0</v>
      </c>
      <c r="D30" s="23">
        <f>D31+D32</f>
        <v>0</v>
      </c>
      <c r="E30" s="23">
        <f>E31+E32</f>
        <v>997.5279999999999</v>
      </c>
      <c r="F30" s="24">
        <f>F31+F32</f>
        <v>463.322</v>
      </c>
    </row>
    <row r="31" spans="1:6" s="2" customFormat="1" ht="22.5" customHeight="1">
      <c r="A31" s="21" t="s">
        <v>18</v>
      </c>
      <c r="B31" s="5">
        <f t="shared" si="0"/>
        <v>1155.4719999999998</v>
      </c>
      <c r="C31" s="8">
        <f>'январь факт'!C31+'февраль факт'!C31+'март фaкт'!C31+'апрель фaкт'!C31+'май факт'!C31+'июнь факт'!C31+'июль факт'!C31+'август  факт'!C31+'сентябрь  факт'!C31+'октябрь факт'!C31+'ноябрь факт'!C31+'декабрь факт'!C31</f>
        <v>0</v>
      </c>
      <c r="D31" s="8">
        <f>'январь факт'!D31+'февраль факт'!D31+'март фaкт'!D31+'апрель фaкт'!D31+'май факт'!D31+'июнь факт'!D31+'июль факт'!D31+'август  факт'!D31+'сентябрь  факт'!D31+'октябрь факт'!D31+'ноябрь факт'!D31+'декабрь факт'!D31</f>
        <v>0</v>
      </c>
      <c r="E31" s="8">
        <f>'январь факт'!E31+'февраль факт'!E31+'март фaкт'!E31+'апрель фaкт'!E31+'май факт'!E31+'июнь факт'!E31+'июль факт'!E31+'август  факт'!E31+'сентябрь  факт'!E31+'октябрь факт'!E31+'ноябрь факт'!E31+'декабрь факт'!E31</f>
        <v>997.5279999999999</v>
      </c>
      <c r="F31" s="9">
        <f>'январь факт'!F31+'февраль факт'!F31+'март фaкт'!F31+'апрель фaкт'!F31+'май факт'!F31+'июнь факт'!F31+'июль факт'!F31+'август  факт'!F31+'сентябрь  факт'!F31+'октябрь факт'!F31+'ноябрь факт'!F31+'декабрь факт'!F31</f>
        <v>157.94399999999996</v>
      </c>
    </row>
    <row r="32" spans="1:6" s="2" customFormat="1" ht="24.75" customHeight="1">
      <c r="A32" s="21" t="s">
        <v>15</v>
      </c>
      <c r="B32" s="5">
        <f t="shared" si="0"/>
        <v>305.37800000000004</v>
      </c>
      <c r="C32" s="23">
        <f>C33+C34</f>
        <v>0</v>
      </c>
      <c r="D32" s="23">
        <f>D33+D34</f>
        <v>0</v>
      </c>
      <c r="E32" s="23">
        <f>E33+E34</f>
        <v>0</v>
      </c>
      <c r="F32" s="24">
        <f>F33+F34</f>
        <v>305.37800000000004</v>
      </c>
    </row>
    <row r="33" spans="1:6" s="2" customFormat="1" ht="18" customHeight="1">
      <c r="A33" s="21" t="s">
        <v>16</v>
      </c>
      <c r="B33" s="5">
        <f t="shared" si="0"/>
        <v>248.05600000000004</v>
      </c>
      <c r="C33" s="10">
        <f>'январь факт'!C33+'февраль факт'!C33+'март фaкт'!C33+'апрель фaкт'!C33+'май факт'!C33+'июнь факт'!C33+'июль факт'!C33+'август  факт'!C33+'сентябрь  факт'!C33+'октябрь факт'!C33+'ноябрь факт'!C33+'декабрь факт'!C33</f>
        <v>0</v>
      </c>
      <c r="D33" s="10">
        <f>'январь факт'!D33+'февраль факт'!D33+'март фaкт'!D33+'апрель фaкт'!D33+'май факт'!D33+'июнь факт'!D33+'июль факт'!D33+'август  факт'!D33+'сентябрь  факт'!D33+'октябрь факт'!D33+'ноябрь факт'!D33+'декабрь факт'!D33</f>
        <v>0</v>
      </c>
      <c r="E33" s="10">
        <f>'январь факт'!E33+'февраль факт'!E33+'март фaкт'!E33+'апрель фaкт'!E33+'май факт'!E33+'июнь факт'!E33+'июль факт'!E33+'август  факт'!E33+'сентябрь  факт'!E33+'октябрь факт'!E33+'ноябрь факт'!E33+'декабрь факт'!E33</f>
        <v>0</v>
      </c>
      <c r="F33" s="19">
        <f>'январь факт'!F33+'февраль факт'!F33+'март фaкт'!F33+'апрель фaкт'!F33+'май факт'!F33+'июнь факт'!F33+'июль факт'!F33+'август  факт'!F33+'сентябрь  факт'!F33+'октябрь факт'!F33+'ноябрь факт'!F33+'декабрь факт'!F33</f>
        <v>248.05600000000004</v>
      </c>
    </row>
    <row r="34" spans="1:6" s="2" customFormat="1" ht="18" customHeight="1">
      <c r="A34" s="21" t="s">
        <v>17</v>
      </c>
      <c r="B34" s="5">
        <f t="shared" si="0"/>
        <v>57.321999999999996</v>
      </c>
      <c r="C34" s="10">
        <f>'январь факт'!C34+'февраль факт'!C34+'март фaкт'!C34+'апрель фaкт'!C34+'май факт'!C34+'июнь факт'!C34+'июль факт'!C34+'август  факт'!C34+'сентябрь  факт'!C34+'октябрь факт'!C34+'ноябрь факт'!C34+'декабрь факт'!C34</f>
        <v>0</v>
      </c>
      <c r="D34" s="10">
        <f>'январь факт'!D34+'февраль факт'!D34+'март фaкт'!D34+'апрель фaкт'!D34+'май факт'!D34+'июнь факт'!D34+'июль факт'!D34+'август  факт'!D34+'сентябрь  факт'!D34+'октябрь факт'!D34+'ноябрь факт'!D34+'декабрь факт'!D34</f>
        <v>0</v>
      </c>
      <c r="E34" s="10">
        <f>'январь факт'!E34+'февраль факт'!E34+'март фaкт'!E34+'апрель фaкт'!E34+'май факт'!E34+'июнь факт'!E34+'июль факт'!E34+'август  факт'!E34+'сентябрь  факт'!E34+'октябрь факт'!E34+'ноябрь факт'!E34+'декабрь факт'!E34</f>
        <v>0</v>
      </c>
      <c r="F34" s="19">
        <f>'январь факт'!F34+'февраль факт'!F34+'март фaкт'!F34+'апрель фaкт'!F34+'май факт'!F34+'июнь факт'!F34+'июль факт'!F34+'август  факт'!F34+'сентябрь  факт'!F34+'октябрь факт'!F34+'ноябрь факт'!F34+'декабрь факт'!F34</f>
        <v>57.321999999999996</v>
      </c>
    </row>
    <row r="35" spans="1:6" s="2" customFormat="1" ht="25.5" customHeight="1">
      <c r="A35" s="153" t="s">
        <v>32</v>
      </c>
      <c r="B35" s="5">
        <f t="shared" si="0"/>
        <v>1821.8800000000003</v>
      </c>
      <c r="C35" s="23">
        <f>C36+C37</f>
        <v>1194.0420000000001</v>
      </c>
      <c r="D35" s="23">
        <f>D36+D37</f>
        <v>0</v>
      </c>
      <c r="E35" s="23">
        <f>E36+E37</f>
        <v>584.359</v>
      </c>
      <c r="F35" s="24">
        <f>F36+F37</f>
        <v>43.479000000000006</v>
      </c>
    </row>
    <row r="36" spans="1:6" s="2" customFormat="1" ht="23.25" customHeight="1">
      <c r="A36" s="21" t="s">
        <v>18</v>
      </c>
      <c r="B36" s="5">
        <f t="shared" si="0"/>
        <v>1669.6510000000003</v>
      </c>
      <c r="C36" s="8">
        <f>'январь факт'!C36+'февраль факт'!C36+'март фaкт'!C36+'апрель фaкт'!C36+'май факт'!C36+'июнь факт'!C36+'июль факт'!C36+'август  факт'!C36+'сентябрь  факт'!C36+'октябрь факт'!C36+'ноябрь факт'!C36+'декабрь факт'!C36</f>
        <v>1194.0420000000001</v>
      </c>
      <c r="D36" s="8">
        <f>'январь факт'!D36+'февраль факт'!D36+'март фaкт'!D36+'апрель фaкт'!D36+'май факт'!D36+'июнь факт'!D36+'июль факт'!D36+'август  факт'!D36+'сентябрь  факт'!D36+'октябрь факт'!D36+'ноябрь факт'!D36+'декабрь факт'!D36</f>
        <v>0</v>
      </c>
      <c r="E36" s="8">
        <f>'январь факт'!E36+'февраль факт'!E36+'март фaкт'!E36+'апрель фaкт'!E36+'май факт'!E36+'июнь факт'!E36+'июль факт'!E36+'август  факт'!E36+'сентябрь  факт'!E36+'октябрь факт'!E36+'ноябрь факт'!E36+'декабрь факт'!E36</f>
        <v>475.51500000000004</v>
      </c>
      <c r="F36" s="9">
        <f>'январь факт'!F36+'февраль факт'!F36+'март фaкт'!F36+'апрель фaкт'!F36+'май факт'!F36+'июнь факт'!F36+'июль факт'!F36+'август  факт'!F36+'сентябрь  факт'!F36+'октябрь факт'!F36+'ноябрь факт'!F36+'декабрь факт'!F36</f>
        <v>0.094</v>
      </c>
    </row>
    <row r="37" spans="1:6" s="2" customFormat="1" ht="23.25" customHeight="1">
      <c r="A37" s="21" t="s">
        <v>15</v>
      </c>
      <c r="B37" s="5">
        <f t="shared" si="0"/>
        <v>152.22899999999998</v>
      </c>
      <c r="C37" s="23">
        <f>C38+C39</f>
        <v>0</v>
      </c>
      <c r="D37" s="23">
        <f>D38+D39</f>
        <v>0</v>
      </c>
      <c r="E37" s="23">
        <f>E38+E39</f>
        <v>108.844</v>
      </c>
      <c r="F37" s="24">
        <f>F38+F39</f>
        <v>43.385000000000005</v>
      </c>
    </row>
    <row r="38" spans="1:6" s="2" customFormat="1" ht="23.25" customHeight="1">
      <c r="A38" s="21" t="s">
        <v>16</v>
      </c>
      <c r="B38" s="5">
        <f t="shared" si="0"/>
        <v>6.624</v>
      </c>
      <c r="C38" s="10">
        <f>'январь факт'!C38+'февраль факт'!C38+'март фaкт'!C38+'апрель фaкт'!C38+'май факт'!C38+'июнь факт'!C38+'июль факт'!C38+'август  факт'!C38+'сентябрь  факт'!C38+'октябрь факт'!C38+'ноябрь факт'!C38+'декабрь факт'!C38</f>
        <v>0</v>
      </c>
      <c r="D38" s="10">
        <f>'январь факт'!D38+'февраль факт'!D38+'март фaкт'!D38+'апрель фaкт'!D38+'май факт'!D38+'июнь факт'!D38+'июль факт'!D38+'август  факт'!D38+'сентябрь  факт'!D38+'октябрь факт'!D38+'ноябрь факт'!D38+'декабрь факт'!D38</f>
        <v>0</v>
      </c>
      <c r="E38" s="10">
        <f>'январь факт'!E38+'февраль факт'!E38+'март фaкт'!E38+'апрель фaкт'!E38+'май факт'!E38+'июнь факт'!E38+'июль факт'!E38+'август  факт'!E38+'сентябрь  факт'!E38+'октябрь факт'!E38+'ноябрь факт'!E38+'декабрь факт'!E38</f>
        <v>6.624</v>
      </c>
      <c r="F38" s="19">
        <f>'январь факт'!F38+'февраль факт'!F38+'март фaкт'!F38+'апрель фaкт'!F38+'май факт'!F38+'июнь факт'!F38+'июль факт'!F38+'август  факт'!F38+'сентябрь  факт'!F38+'октябрь факт'!F38+'ноябрь факт'!F38+'декабрь факт'!F38</f>
        <v>0</v>
      </c>
    </row>
    <row r="39" spans="1:6" s="2" customFormat="1" ht="23.25" customHeight="1">
      <c r="A39" s="21" t="s">
        <v>17</v>
      </c>
      <c r="B39" s="5">
        <f t="shared" si="0"/>
        <v>145.60500000000002</v>
      </c>
      <c r="C39" s="10">
        <f>'январь факт'!C39+'февраль факт'!C39+'март фaкт'!C39+'апрель фaкт'!C39+'май факт'!C39+'июнь факт'!C39+'июль факт'!C39+'август  факт'!C39+'сентябрь  факт'!C39+'октябрь факт'!C39+'ноябрь факт'!C39+'декабрь факт'!C39</f>
        <v>0</v>
      </c>
      <c r="D39" s="10">
        <f>'январь факт'!D39+'февраль факт'!D39+'март фaкт'!D39+'апрель фaкт'!D39+'май факт'!D39+'июнь факт'!D39+'июль факт'!D39+'август  факт'!D39+'сентябрь  факт'!D39+'октябрь факт'!D39+'ноябрь факт'!D39+'декабрь факт'!D39</f>
        <v>0</v>
      </c>
      <c r="E39" s="10">
        <f>'январь факт'!E39+'февраль факт'!E39+'март фaкт'!E39+'апрель фaкт'!E39+'май факт'!E39+'июнь факт'!E39+'июль факт'!E39+'август  факт'!E39+'сентябрь  факт'!E39+'октябрь факт'!E39+'ноябрь факт'!E39+'декабрь факт'!E39</f>
        <v>102.22</v>
      </c>
      <c r="F39" s="19">
        <f>'январь факт'!F39+'февраль факт'!F39+'март фaкт'!F39+'апрель фaкт'!F39+'май факт'!F39+'июнь факт'!F39+'июль факт'!F39+'август  факт'!F39+'сентябрь  факт'!F39+'октябрь факт'!F39+'ноябрь факт'!F39+'декабрь факт'!F39</f>
        <v>43.385000000000005</v>
      </c>
    </row>
    <row r="40" spans="1:6" s="2" customFormat="1" ht="42" customHeight="1">
      <c r="A40" s="153" t="s">
        <v>33</v>
      </c>
      <c r="B40" s="5">
        <f t="shared" si="0"/>
        <v>478.5239999999999</v>
      </c>
      <c r="C40" s="23">
        <f>C41+C42</f>
        <v>15.602</v>
      </c>
      <c r="D40" s="23">
        <f>D41+D42</f>
        <v>0</v>
      </c>
      <c r="E40" s="23">
        <f>E41+E42</f>
        <v>462.9219999999999</v>
      </c>
      <c r="F40" s="24">
        <f>F41+F42</f>
        <v>0</v>
      </c>
    </row>
    <row r="41" spans="1:6" s="2" customFormat="1" ht="19.5" customHeight="1">
      <c r="A41" s="21" t="s">
        <v>18</v>
      </c>
      <c r="B41" s="5">
        <f t="shared" si="0"/>
        <v>440.0949999999999</v>
      </c>
      <c r="C41" s="8">
        <f>'январь факт'!C41+'февраль факт'!C41+'март фaкт'!C41+'апрель фaкт'!C41+'май факт'!C41+'июнь факт'!C41+'июль факт'!C41+'август  факт'!C41+'сентябрь  факт'!C41+'октябрь факт'!C41+'ноябрь факт'!C41+'декабрь факт'!C41</f>
        <v>15.602</v>
      </c>
      <c r="D41" s="8">
        <f>'январь факт'!D41+'февраль факт'!D41+'март фaкт'!D41+'апрель фaкт'!D41+'май факт'!D41+'июнь факт'!D41+'июль факт'!D41+'август  факт'!D41+'сентябрь  факт'!D41+'октябрь факт'!D41+'ноябрь факт'!D41+'декабрь факт'!D41</f>
        <v>0</v>
      </c>
      <c r="E41" s="8">
        <f>'январь факт'!E41+'февраль факт'!E41+'март фaкт'!E41+'апрель фaкт'!E41+'май факт'!E41+'июнь факт'!E41+'июль факт'!E41+'август  факт'!E41+'сентябрь  факт'!E41+'октябрь факт'!E41+'ноябрь факт'!E41+'декабрь факт'!E41</f>
        <v>424.49299999999994</v>
      </c>
      <c r="F41" s="9">
        <f>'январь факт'!F41+'февраль факт'!F41+'март фaкт'!F41+'апрель фaкт'!F41+'май факт'!F41+'июнь факт'!F41+'июль факт'!F41+'август  факт'!F41+'сентябрь  факт'!F41+'октябрь факт'!F41+'ноябрь факт'!F41+'декабрь факт'!F41</f>
        <v>0</v>
      </c>
    </row>
    <row r="42" spans="1:6" s="2" customFormat="1" ht="19.5" customHeight="1">
      <c r="A42" s="21" t="s">
        <v>15</v>
      </c>
      <c r="B42" s="5">
        <f t="shared" si="0"/>
        <v>38.429</v>
      </c>
      <c r="C42" s="23">
        <f>C43+C44</f>
        <v>0</v>
      </c>
      <c r="D42" s="23">
        <f>D43+D44</f>
        <v>0</v>
      </c>
      <c r="E42" s="23">
        <f>E43+E44</f>
        <v>38.429</v>
      </c>
      <c r="F42" s="24">
        <f>F43+F44</f>
        <v>0</v>
      </c>
    </row>
    <row r="43" spans="1:6" s="2" customFormat="1" ht="19.5" customHeight="1">
      <c r="A43" s="21" t="s">
        <v>16</v>
      </c>
      <c r="B43" s="5">
        <f t="shared" si="0"/>
        <v>38.429</v>
      </c>
      <c r="C43" s="10">
        <f>'январь факт'!C43+'февраль факт'!C43+'март фaкт'!C43+'апрель фaкт'!C43+'май факт'!C43+'июнь факт'!C43+'июль факт'!C43+'август  факт'!C43+'сентябрь  факт'!C43+'октябрь факт'!C43+'ноябрь факт'!C43+'декабрь факт'!C43</f>
        <v>0</v>
      </c>
      <c r="D43" s="10">
        <f>'январь факт'!D43+'февраль факт'!D43+'март фaкт'!D43+'апрель фaкт'!D43+'май факт'!D43+'июнь факт'!D43+'июль факт'!D43+'август  факт'!D43+'сентябрь  факт'!D43+'октябрь факт'!D43+'ноябрь факт'!D43+'декабрь факт'!D43</f>
        <v>0</v>
      </c>
      <c r="E43" s="10">
        <f>'январь факт'!E43+'февраль факт'!E43+'март фaкт'!E43+'апрель фaкт'!E43+'май факт'!E43+'июнь факт'!E43+'июль факт'!E43+'август  факт'!E43+'сентябрь  факт'!E43+'октябрь факт'!E43+'ноябрь факт'!E43+'декабрь факт'!E43</f>
        <v>38.429</v>
      </c>
      <c r="F43" s="19">
        <f>'январь факт'!F43+'февраль факт'!F43+'март фaкт'!F43+'апрель фaкт'!F43+'май факт'!F43+'июнь факт'!F43+'июль факт'!F43+'август  факт'!F43+'сентябрь  факт'!F43+'октябрь факт'!F43+'ноябрь факт'!F43+'декабрь факт'!F43</f>
        <v>0</v>
      </c>
    </row>
    <row r="44" spans="1:6" s="2" customFormat="1" ht="19.5" customHeight="1">
      <c r="A44" s="21" t="s">
        <v>17</v>
      </c>
      <c r="B44" s="5">
        <f t="shared" si="0"/>
        <v>0</v>
      </c>
      <c r="C44" s="10">
        <f>'январь факт'!C44+'февраль факт'!C44+'март фaкт'!C44+'апрель фaкт'!C44+'май факт'!C44+'июнь факт'!C44+'июль факт'!C44+'август  факт'!C44+'сентябрь  факт'!C44+'октябрь факт'!C44+'ноябрь факт'!C44+'декабрь факт'!C44</f>
        <v>0</v>
      </c>
      <c r="D44" s="10">
        <f>'январь факт'!D44+'февраль факт'!D44+'март фaкт'!D44+'апрель фaкт'!D44+'май факт'!D44+'июнь факт'!D44+'июль факт'!D44+'август  факт'!D44+'сентябрь  факт'!D44+'октябрь факт'!D44+'ноябрь факт'!D44+'декабрь факт'!D44</f>
        <v>0</v>
      </c>
      <c r="E44" s="10">
        <f>'январь факт'!E44+'февраль факт'!E44+'март фaкт'!E44+'апрель фaкт'!E44+'май факт'!E44+'июнь факт'!E44+'июль факт'!E44+'август  факт'!E44+'сентябрь  факт'!E44+'октябрь факт'!E44+'ноябрь факт'!E44+'декабрь факт'!E44</f>
        <v>0</v>
      </c>
      <c r="F44" s="19">
        <f>'январь факт'!F44+'февраль факт'!F44+'март фaкт'!F44+'апрель фaкт'!F44+'май факт'!F44+'июнь факт'!F44+'июль факт'!F44+'август  факт'!F44+'сентябрь  факт'!F44+'октябрь факт'!F44+'ноябрь факт'!F44+'декабрь факт'!F44</f>
        <v>0</v>
      </c>
    </row>
    <row r="45" spans="1:6" s="2" customFormat="1" ht="24.75" customHeight="1">
      <c r="A45" s="153" t="s">
        <v>10</v>
      </c>
      <c r="B45" s="5">
        <f t="shared" si="0"/>
        <v>16502.071000000004</v>
      </c>
      <c r="C45" s="23">
        <f>C46+C47</f>
        <v>0</v>
      </c>
      <c r="D45" s="23">
        <f>D46+D47</f>
        <v>0</v>
      </c>
      <c r="E45" s="23">
        <f>E46+E47</f>
        <v>9890.818000000001</v>
      </c>
      <c r="F45" s="24">
        <f>F46+F47</f>
        <v>6611.253000000001</v>
      </c>
    </row>
    <row r="46" spans="1:6" s="2" customFormat="1" ht="24.75" customHeight="1">
      <c r="A46" s="21" t="s">
        <v>18</v>
      </c>
      <c r="B46" s="5">
        <f t="shared" si="0"/>
        <v>11200.053</v>
      </c>
      <c r="C46" s="8">
        <f>'январь факт'!C46+'февраль факт'!C46+'март фaкт'!C46+'апрель фaкт'!C46+'май факт'!C46+'июнь факт'!C46+'июль факт'!C46+'август  факт'!C46+'сентябрь  факт'!C46+'октябрь факт'!C46+'ноябрь факт'!C46+'декабрь факт'!C46</f>
        <v>0</v>
      </c>
      <c r="D46" s="8">
        <f>'январь факт'!D46+'февраль факт'!D46+'март фaкт'!D46+'апрель фaкт'!D46+'май факт'!D46+'июнь факт'!D46+'июль факт'!D46+'август  факт'!D46+'сентябрь  факт'!D46+'октябрь факт'!D46+'ноябрь факт'!D46+'декабрь факт'!D46</f>
        <v>0</v>
      </c>
      <c r="E46" s="8">
        <f>'январь факт'!E46+'февраль факт'!E46+'март фaкт'!E46+'апрель фaкт'!E46+'май факт'!E46+'июнь факт'!E46+'июль факт'!E46+'август  факт'!E46+'сентябрь  факт'!E46+'октябрь факт'!E46+'ноябрь факт'!E46+'декабрь факт'!E46</f>
        <v>9518.207</v>
      </c>
      <c r="F46" s="9">
        <f>'январь факт'!F46+'февраль факт'!F46+'март фaкт'!F46+'апрель фaкт'!F46+'май факт'!F46+'июнь факт'!F46+'июль факт'!F46+'август  факт'!F46+'сентябрь  факт'!F46+'октябрь факт'!F46+'ноябрь факт'!F46+'декабрь факт'!F46</f>
        <v>1681.8460000000002</v>
      </c>
    </row>
    <row r="47" spans="1:6" s="2" customFormat="1" ht="24.75" customHeight="1">
      <c r="A47" s="21" t="s">
        <v>15</v>
      </c>
      <c r="B47" s="5">
        <f t="shared" si="0"/>
        <v>5302.018</v>
      </c>
      <c r="C47" s="23">
        <f>C48+C49</f>
        <v>0</v>
      </c>
      <c r="D47" s="23">
        <f>D48+D49</f>
        <v>0</v>
      </c>
      <c r="E47" s="23">
        <f>E48+E49</f>
        <v>372.611</v>
      </c>
      <c r="F47" s="24">
        <f>F48+F49</f>
        <v>4929.407</v>
      </c>
    </row>
    <row r="48" spans="1:6" s="2" customFormat="1" ht="24.75" customHeight="1">
      <c r="A48" s="21" t="s">
        <v>16</v>
      </c>
      <c r="B48" s="5">
        <f t="shared" si="0"/>
        <v>4216.658</v>
      </c>
      <c r="C48" s="10">
        <f>'январь факт'!C48+'февраль факт'!C48+'март фaкт'!C48+'апрель фaкт'!C48+'май факт'!C48+'июнь факт'!C48+'июль факт'!C48+'август  факт'!C48+'сентябрь  факт'!C48+'октябрь факт'!C48+'ноябрь факт'!C48+'декабрь факт'!C48</f>
        <v>0</v>
      </c>
      <c r="D48" s="10">
        <f>'январь факт'!D48+'февраль факт'!D48+'март фaкт'!D48+'апрель фaкт'!D48+'май факт'!D48+'июнь факт'!D48+'июль факт'!D48+'август  факт'!D48+'сентябрь  факт'!D48+'октябрь факт'!D48+'ноябрь факт'!D48+'декабрь факт'!D48</f>
        <v>0</v>
      </c>
      <c r="E48" s="10">
        <f>'январь факт'!E48+'февраль факт'!E48+'март фaкт'!E48+'апрель фaкт'!E48+'май факт'!E48+'июнь факт'!E48+'июль факт'!E48+'август  факт'!E48+'сентябрь  факт'!E48+'октябрь факт'!E48+'ноябрь факт'!E48+'декабрь факт'!E48</f>
        <v>359.275</v>
      </c>
      <c r="F48" s="19">
        <f>'январь факт'!F48+'февраль факт'!F48+'март фaкт'!F48+'апрель фaкт'!F48+'май факт'!F48+'июнь факт'!F48+'июль факт'!F48+'август  факт'!F48+'сентябрь  факт'!F48+'октябрь факт'!F48+'ноябрь факт'!F48+'декабрь факт'!F48</f>
        <v>3857.3830000000003</v>
      </c>
    </row>
    <row r="49" spans="1:6" s="2" customFormat="1" ht="24.75" customHeight="1">
      <c r="A49" s="21" t="s">
        <v>17</v>
      </c>
      <c r="B49" s="5">
        <f t="shared" si="0"/>
        <v>1085.36</v>
      </c>
      <c r="C49" s="10">
        <f>'январь факт'!C49+'февраль факт'!C49+'март фaкт'!C49+'апрель фaкт'!C49+'май факт'!C49+'июнь факт'!C49+'июль факт'!C49+'август  факт'!C49+'сентябрь  факт'!C49+'октябрь факт'!C49+'ноябрь факт'!C49+'декабрь факт'!C49</f>
        <v>0</v>
      </c>
      <c r="D49" s="10">
        <f>'январь факт'!D49+'февраль факт'!D49+'март фaкт'!D49+'апрель фaкт'!D49+'май факт'!D49+'июнь факт'!D49+'июль факт'!D49+'август  факт'!D49+'сентябрь  факт'!D49+'октябрь факт'!D49+'ноябрь факт'!D49+'декабрь факт'!D49</f>
        <v>0</v>
      </c>
      <c r="E49" s="10">
        <f>'январь факт'!E49+'февраль факт'!E49+'март фaкт'!E49+'апрель фaкт'!E49+'май факт'!E49+'июнь факт'!E49+'июль факт'!E49+'август  факт'!E49+'сентябрь  факт'!E49+'октябрь факт'!E49+'ноябрь факт'!E49+'декабрь факт'!E49</f>
        <v>13.335999999999999</v>
      </c>
      <c r="F49" s="19">
        <f>'январь факт'!F49+'февраль факт'!F49+'март фaкт'!F49+'апрель фaкт'!F49+'май факт'!F49+'июнь факт'!F49+'июль факт'!F49+'август  факт'!F49+'сентябрь  факт'!F49+'октябрь факт'!F49+'ноябрь факт'!F49+'декабрь факт'!F49</f>
        <v>1072.024</v>
      </c>
    </row>
    <row r="50" spans="1:6" s="2" customFormat="1" ht="24.75" customHeight="1">
      <c r="A50" s="153" t="s">
        <v>5</v>
      </c>
      <c r="B50" s="5">
        <f t="shared" si="0"/>
        <v>30702.642999999996</v>
      </c>
      <c r="C50" s="23">
        <f>C51+C52</f>
        <v>4223.369</v>
      </c>
      <c r="D50" s="23">
        <f>D51+D52</f>
        <v>0</v>
      </c>
      <c r="E50" s="23">
        <f>E51+E52</f>
        <v>15145.504</v>
      </c>
      <c r="F50" s="24">
        <f>F51+F52</f>
        <v>11333.769999999997</v>
      </c>
    </row>
    <row r="51" spans="1:6" s="2" customFormat="1" ht="24.75" customHeight="1">
      <c r="A51" s="21" t="s">
        <v>18</v>
      </c>
      <c r="B51" s="5">
        <f t="shared" si="0"/>
        <v>18757.225999999995</v>
      </c>
      <c r="C51" s="8">
        <f>'январь факт'!C51+'февраль факт'!C51+'март фaкт'!C51+'апрель фaкт'!C51+'май факт'!C51+'июнь факт'!C51+'июль факт'!C51+'август  факт'!C51+'сентябрь  факт'!C51+'октябрь факт'!C51+'ноябрь факт'!C51+'декабрь факт'!C51</f>
        <v>4223.369</v>
      </c>
      <c r="D51" s="8">
        <f>'январь факт'!D51+'февраль факт'!D51+'март фaкт'!D51+'апрель фaкт'!D51+'май факт'!D51+'июнь факт'!D51+'июль факт'!D51+'август  факт'!D51+'сентябрь  факт'!D51+'октябрь факт'!D51+'ноябрь факт'!D51+'декабрь факт'!D51</f>
        <v>0</v>
      </c>
      <c r="E51" s="8">
        <f>'январь факт'!E51+'февраль факт'!E51+'март фaкт'!E51+'апрель фaкт'!E51+'май факт'!E51+'июнь факт'!E51+'июль факт'!E51+'август  факт'!E51+'сентябрь  факт'!E51+'октябрь факт'!E51+'ноябрь факт'!E51+'декабрь факт'!E51</f>
        <v>9090.244999999999</v>
      </c>
      <c r="F51" s="9">
        <f>'январь факт'!F51+'февраль факт'!F51+'март фaкт'!F51+'апрель фaкт'!F51+'май факт'!F51+'июнь факт'!F51+'июль факт'!F51+'август  факт'!F51+'сентябрь  факт'!F51+'октябрь факт'!F51+'ноябрь факт'!F51+'декабрь факт'!F51</f>
        <v>5443.611999999999</v>
      </c>
    </row>
    <row r="52" spans="1:6" s="2" customFormat="1" ht="24.75" customHeight="1">
      <c r="A52" s="21" t="s">
        <v>15</v>
      </c>
      <c r="B52" s="5">
        <f t="shared" si="0"/>
        <v>11945.417</v>
      </c>
      <c r="C52" s="23">
        <f>C53+C54</f>
        <v>0</v>
      </c>
      <c r="D52" s="23">
        <f>D53+D54</f>
        <v>0</v>
      </c>
      <c r="E52" s="23">
        <f>E53+E54</f>
        <v>6055.259000000001</v>
      </c>
      <c r="F52" s="24">
        <f>F53+F54</f>
        <v>5890.1579999999985</v>
      </c>
    </row>
    <row r="53" spans="1:6" s="2" customFormat="1" ht="24.75" customHeight="1">
      <c r="A53" s="21" t="s">
        <v>16</v>
      </c>
      <c r="B53" s="5">
        <f t="shared" si="0"/>
        <v>11892.257</v>
      </c>
      <c r="C53" s="10">
        <f>'январь факт'!C53+'февраль факт'!C53+'март фaкт'!C53+'апрель фaкт'!C53+'май факт'!C53+'июнь факт'!C53+'июль факт'!C53+'август  факт'!C53+'сентябрь  факт'!C53+'октябрь факт'!C53+'ноябрь факт'!C53+'декабрь факт'!C53</f>
        <v>0</v>
      </c>
      <c r="D53" s="10">
        <f>'январь факт'!D53+'февраль факт'!D53+'март фaкт'!D53+'апрель фaкт'!D53+'май факт'!D53+'июнь факт'!D53+'июль факт'!D53+'август  факт'!D53+'сентябрь  факт'!D53+'октябрь факт'!D53+'ноябрь факт'!D53+'декабрь факт'!D53</f>
        <v>0</v>
      </c>
      <c r="E53" s="10">
        <f>'январь факт'!E53+'февраль факт'!E53+'март фaкт'!E53+'апрель фaкт'!E53+'май факт'!E53+'июнь факт'!E53+'июль факт'!E53+'август  факт'!E53+'сентябрь  факт'!E53+'октябрь факт'!E53+'ноябрь факт'!E53+'декабрь факт'!E53</f>
        <v>6002.099000000001</v>
      </c>
      <c r="F53" s="19">
        <f>'январь факт'!F53+'февраль факт'!F53+'март фaкт'!F53+'апрель фaкт'!F53+'май факт'!F53+'июнь факт'!F53+'июль факт'!F53+'август  факт'!F53+'сентябрь  факт'!F53+'октябрь факт'!F53+'ноябрь факт'!F53+'декабрь факт'!F53</f>
        <v>5890.1579999999985</v>
      </c>
    </row>
    <row r="54" spans="1:6" s="2" customFormat="1" ht="24.75" customHeight="1">
      <c r="A54" s="21" t="s">
        <v>17</v>
      </c>
      <c r="B54" s="5">
        <f t="shared" si="0"/>
        <v>53.16</v>
      </c>
      <c r="C54" s="10">
        <f>'январь факт'!C54+'февраль факт'!C54+'март фaкт'!C54+'апрель фaкт'!C54+'май факт'!C54+'июнь факт'!C54+'июль факт'!C54+'август  факт'!C54+'сентябрь  факт'!C54+'октябрь факт'!C54+'ноябрь факт'!C54+'декабрь факт'!C54</f>
        <v>0</v>
      </c>
      <c r="D54" s="10">
        <f>'январь факт'!D54+'февраль факт'!D54+'март фaкт'!D54+'апрель фaкт'!D54+'май факт'!D54+'июнь факт'!D54+'июль факт'!D54+'август  факт'!D54+'сентябрь  факт'!D54+'октябрь факт'!D54+'ноябрь факт'!D54+'декабрь факт'!D54</f>
        <v>0</v>
      </c>
      <c r="E54" s="10">
        <f>'январь факт'!E54+'февраль факт'!E54+'март фaкт'!E54+'апрель фaкт'!E54+'май факт'!E54+'июнь факт'!E54+'июль факт'!E54+'август  факт'!E54+'сентябрь  факт'!E54+'октябрь факт'!E54+'ноябрь факт'!E54+'декабрь факт'!E54</f>
        <v>53.16</v>
      </c>
      <c r="F54" s="19">
        <f>'январь факт'!F54+'февраль факт'!F54+'март фaкт'!F54+'апрель фaкт'!F54+'май факт'!F54+'июнь факт'!F54+'июль факт'!F54+'август  факт'!F54+'сентябрь  факт'!F54+'октябрь факт'!F54+'ноябрь факт'!F54+'декабрь факт'!F54</f>
        <v>0</v>
      </c>
    </row>
    <row r="55" spans="1:6" s="2" customFormat="1" ht="50.25" customHeight="1">
      <c r="A55" s="153" t="s">
        <v>11</v>
      </c>
      <c r="B55" s="5">
        <f t="shared" si="0"/>
        <v>69984.653</v>
      </c>
      <c r="C55" s="23">
        <f>C56+C57</f>
        <v>0</v>
      </c>
      <c r="D55" s="23">
        <f>D56+D57</f>
        <v>0</v>
      </c>
      <c r="E55" s="23">
        <f>E56+E57</f>
        <v>16454.288</v>
      </c>
      <c r="F55" s="24">
        <f>F56+F57</f>
        <v>53530.365000000005</v>
      </c>
    </row>
    <row r="56" spans="1:6" s="2" customFormat="1" ht="26.25" customHeight="1">
      <c r="A56" s="21" t="s">
        <v>18</v>
      </c>
      <c r="B56" s="5">
        <f t="shared" si="0"/>
        <v>34281.23</v>
      </c>
      <c r="C56" s="8">
        <f>'январь факт'!C56+'февраль факт'!C56+'март фaкт'!C56+'апрель фaкт'!C56+'май факт'!C56+'июнь факт'!C56+'июль факт'!C56+'август  факт'!C56+'сентябрь  факт'!C56+'октябрь факт'!C56+'ноябрь факт'!C56+'декабрь факт'!C56</f>
        <v>0</v>
      </c>
      <c r="D56" s="8">
        <f>'январь факт'!D56+'февраль факт'!D56+'март фaкт'!D56+'апрель фaкт'!D56+'май факт'!D56+'июнь факт'!D56+'июль факт'!D56+'август  факт'!D56+'сентябрь  факт'!D56+'октябрь факт'!D56+'ноябрь факт'!D56+'декабрь факт'!D56</f>
        <v>0</v>
      </c>
      <c r="E56" s="8">
        <f>'январь факт'!E56+'февраль факт'!E56+'март фaкт'!E56+'апрель фaкт'!E56+'май факт'!E56+'июнь факт'!E56+'июль факт'!E56+'август  факт'!E56+'сентябрь  факт'!E56+'октябрь факт'!E56+'ноябрь факт'!E56+'декабрь факт'!E56</f>
        <v>15054.024000000001</v>
      </c>
      <c r="F56" s="9">
        <f>'январь факт'!F56+'февраль факт'!F56+'март фaкт'!F56+'апрель фaкт'!F56+'май факт'!F56+'июнь факт'!F56+'июль факт'!F56+'август  факт'!F56+'сентябрь  факт'!F56+'октябрь факт'!F56+'ноябрь факт'!F56+'декабрь факт'!F56</f>
        <v>19227.206000000002</v>
      </c>
    </row>
    <row r="57" spans="1:6" s="2" customFormat="1" ht="26.25" customHeight="1">
      <c r="A57" s="21" t="s">
        <v>15</v>
      </c>
      <c r="B57" s="5">
        <f t="shared" si="0"/>
        <v>35703.423</v>
      </c>
      <c r="C57" s="23">
        <f>C58+C59</f>
        <v>0</v>
      </c>
      <c r="D57" s="23">
        <f>D58+D59</f>
        <v>0</v>
      </c>
      <c r="E57" s="23">
        <f>E58+E59</f>
        <v>1400.264</v>
      </c>
      <c r="F57" s="24">
        <f>F58+F59</f>
        <v>34303.159</v>
      </c>
    </row>
    <row r="58" spans="1:6" s="2" customFormat="1" ht="26.25" customHeight="1">
      <c r="A58" s="21" t="s">
        <v>16</v>
      </c>
      <c r="B58" s="5">
        <f t="shared" si="0"/>
        <v>8630.951</v>
      </c>
      <c r="C58" s="10">
        <f>'январь факт'!C58+'февраль факт'!C58+'март фaкт'!C58+'апрель фaкт'!C58+'май факт'!C58+'июнь факт'!C58+'июль факт'!C58+'август  факт'!C58+'сентябрь  факт'!C58+'октябрь факт'!C58+'ноябрь факт'!C58+'декабрь факт'!C58</f>
        <v>0</v>
      </c>
      <c r="D58" s="10">
        <f>'январь факт'!D58+'февраль факт'!D58+'март фaкт'!D58+'апрель фaкт'!D58+'май факт'!D58+'июнь факт'!D58+'июль факт'!D58+'август  факт'!D58+'сентябрь  факт'!D58+'октябрь факт'!D58+'ноябрь факт'!D58+'декабрь факт'!D58</f>
        <v>0</v>
      </c>
      <c r="E58" s="10">
        <f>'январь факт'!E58+'февраль факт'!E58+'март фaкт'!E58+'апрель фaкт'!E58+'май факт'!E58+'июнь факт'!E58+'июль факт'!E58+'август  факт'!E58+'сентябрь  факт'!E58+'октябрь факт'!E58+'ноябрь факт'!E58+'декабрь факт'!E58</f>
        <v>337.116</v>
      </c>
      <c r="F58" s="19">
        <f>'январь факт'!F58+'февраль факт'!F58+'март фaкт'!F58+'апрель фaкт'!F58+'май факт'!F58+'июнь факт'!F58+'июль факт'!F58+'август  факт'!F58+'сентябрь  факт'!F58+'октябрь факт'!F58+'ноябрь факт'!F58+'декабрь факт'!F58</f>
        <v>8293.835</v>
      </c>
    </row>
    <row r="59" spans="1:6" s="2" customFormat="1" ht="26.25" customHeight="1">
      <c r="A59" s="21" t="s">
        <v>17</v>
      </c>
      <c r="B59" s="5">
        <f t="shared" si="0"/>
        <v>27072.471999999998</v>
      </c>
      <c r="C59" s="10">
        <f>'январь факт'!C59+'февраль факт'!C59+'март фaкт'!C59+'апрель фaкт'!C59+'май факт'!C59+'июнь факт'!C59+'июль факт'!C59+'август  факт'!C59+'сентябрь  факт'!C59+'октябрь факт'!C59+'ноябрь факт'!C59+'декабрь факт'!C59</f>
        <v>0</v>
      </c>
      <c r="D59" s="10">
        <f>'январь факт'!D59+'февраль факт'!D59+'март фaкт'!D59+'апрель фaкт'!D59+'май факт'!D59+'июнь факт'!D59+'июль факт'!D59+'август  факт'!D59+'сентябрь  факт'!D59+'октябрь факт'!D59+'ноябрь факт'!D59+'декабрь факт'!D59</f>
        <v>0</v>
      </c>
      <c r="E59" s="10">
        <f>'январь факт'!E59+'февраль факт'!E59+'март фaкт'!E59+'апрель фaкт'!E59+'май факт'!E59+'июнь факт'!E59+'июль факт'!E59+'август  факт'!E59+'сентябрь  факт'!E59+'октябрь факт'!E59+'ноябрь факт'!E59+'декабрь факт'!E59</f>
        <v>1063.148</v>
      </c>
      <c r="F59" s="19">
        <f>'январь факт'!F59+'февраль факт'!F59+'март фaкт'!F59+'апрель фaкт'!F59+'май факт'!F59+'июнь факт'!F59+'июль факт'!F59+'август  факт'!F59+'сентябрь  факт'!F59+'октябрь факт'!F59+'ноябрь факт'!F59+'декабрь факт'!F59</f>
        <v>26009.323999999997</v>
      </c>
    </row>
    <row r="60" spans="1:6" s="2" customFormat="1" ht="24.75" customHeight="1">
      <c r="A60" s="54" t="s">
        <v>39</v>
      </c>
      <c r="B60" s="5">
        <f t="shared" si="0"/>
        <v>1820.763</v>
      </c>
      <c r="C60" s="23">
        <f>C61+C62</f>
        <v>0</v>
      </c>
      <c r="D60" s="23">
        <f>D61+D62</f>
        <v>0</v>
      </c>
      <c r="E60" s="23">
        <f>E61+E62</f>
        <v>848.8439999999999</v>
      </c>
      <c r="F60" s="24">
        <f>F61+F62</f>
        <v>971.9190000000001</v>
      </c>
    </row>
    <row r="61" spans="1:6" s="2" customFormat="1" ht="21.75" customHeight="1">
      <c r="A61" s="21" t="s">
        <v>18</v>
      </c>
      <c r="B61" s="5">
        <f t="shared" si="0"/>
        <v>1820.763</v>
      </c>
      <c r="C61" s="8">
        <f>'январь факт'!C61+'февраль факт'!C61+'март фaкт'!C61+'апрель фaкт'!C61+'май факт'!C61+'июнь факт'!C61+'июль факт'!C61+'август  факт'!C61+'сентябрь  факт'!C61+'октябрь факт'!C61+'ноябрь факт'!C61+'декабрь факт'!C61</f>
        <v>0</v>
      </c>
      <c r="D61" s="8">
        <f>'январь факт'!D61+'февраль факт'!D61+'март фaкт'!D61+'апрель фaкт'!D61+'май факт'!D61+'июнь факт'!D61+'июль факт'!D61+'август  факт'!D61+'сентябрь  факт'!D61+'октябрь факт'!D61+'ноябрь факт'!D61+'декабрь факт'!D61</f>
        <v>0</v>
      </c>
      <c r="E61" s="8">
        <f>'январь факт'!E61+'февраль факт'!E61+'март фaкт'!E61+'апрель фaкт'!E61+'май факт'!E61+'июнь факт'!E61+'июль факт'!E61+'август  факт'!E61+'сентябрь  факт'!E61+'октябрь факт'!E61+'ноябрь факт'!E61+'декабрь факт'!E61</f>
        <v>848.8439999999999</v>
      </c>
      <c r="F61" s="9">
        <f>'январь факт'!F61+'февраль факт'!F61+'март фaкт'!F61+'апрель фaкт'!F61+'май факт'!F61+'июнь факт'!F61+'июль факт'!F61+'август  факт'!F61+'сентябрь  факт'!F61+'октябрь факт'!F61+'ноябрь факт'!F61+'декабрь факт'!F61</f>
        <v>971.9190000000001</v>
      </c>
    </row>
    <row r="62" spans="1:6" s="2" customFormat="1" ht="16.5" customHeight="1">
      <c r="A62" s="21" t="s">
        <v>15</v>
      </c>
      <c r="B62" s="5">
        <f t="shared" si="0"/>
        <v>0</v>
      </c>
      <c r="C62" s="23">
        <f>C63+C64</f>
        <v>0</v>
      </c>
      <c r="D62" s="23">
        <f>D63+D64</f>
        <v>0</v>
      </c>
      <c r="E62" s="23">
        <f>E63+E64</f>
        <v>0</v>
      </c>
      <c r="F62" s="24">
        <f>F63+F64</f>
        <v>0</v>
      </c>
    </row>
    <row r="63" spans="1:6" s="2" customFormat="1" ht="18" customHeight="1">
      <c r="A63" s="21" t="s">
        <v>16</v>
      </c>
      <c r="B63" s="5">
        <f t="shared" si="0"/>
        <v>0</v>
      </c>
      <c r="C63" s="10">
        <f>'январь факт'!C63+'февраль факт'!C63+'март фaкт'!C63+'апрель фaкт'!C63+'май факт'!C63+'июнь факт'!C63+'июль факт'!C63+'август  факт'!C63+'сентябрь  факт'!C63+'октябрь факт'!C63+'ноябрь факт'!C63+'декабрь факт'!C63</f>
        <v>0</v>
      </c>
      <c r="D63" s="10">
        <f>'январь факт'!D63+'февраль факт'!D63+'март фaкт'!D63+'апрель фaкт'!D63+'май факт'!D63+'июнь факт'!D63+'июль факт'!D63+'август  факт'!D63+'сентябрь  факт'!D63+'октябрь факт'!D63+'ноябрь факт'!D63+'декабрь факт'!D63</f>
        <v>0</v>
      </c>
      <c r="E63" s="10">
        <f>'январь факт'!E63+'февраль факт'!E63+'март фaкт'!E63+'апрель фaкт'!E63+'май факт'!E63+'июнь факт'!E63+'июль факт'!E63+'август  факт'!E63+'сентябрь  факт'!E63+'октябрь факт'!E63+'ноябрь факт'!E63+'декабрь факт'!E63</f>
        <v>0</v>
      </c>
      <c r="F63" s="19">
        <f>'январь факт'!F63+'февраль факт'!F63+'март фaкт'!F63+'апрель фaкт'!F63+'май факт'!F63+'июнь факт'!F63+'июль факт'!F63+'август  факт'!F63+'сентябрь  факт'!F63+'октябрь факт'!F63+'ноябрь факт'!F63+'декабрь факт'!F63</f>
        <v>0</v>
      </c>
    </row>
    <row r="64" spans="1:6" s="2" customFormat="1" ht="18" customHeight="1">
      <c r="A64" s="21" t="s">
        <v>17</v>
      </c>
      <c r="B64" s="5">
        <f t="shared" si="0"/>
        <v>0</v>
      </c>
      <c r="C64" s="10">
        <f>'январь факт'!C64+'февраль факт'!C64+'март фaкт'!C64+'апрель фaкт'!C64+'май факт'!C64+'июнь факт'!C64+'июль факт'!C64+'август  факт'!C64+'сентябрь  факт'!C64+'октябрь факт'!C64+'ноябрь факт'!C64+'декабрь факт'!C64</f>
        <v>0</v>
      </c>
      <c r="D64" s="10">
        <f>'январь факт'!D64+'февраль факт'!D64+'март фaкт'!D64+'апрель фaкт'!D64+'май факт'!D64+'июнь факт'!D64+'июль факт'!D64+'август  факт'!D64+'сентябрь  факт'!D64+'октябрь факт'!D64+'ноябрь факт'!D64+'декабрь факт'!D64</f>
        <v>0</v>
      </c>
      <c r="E64" s="10">
        <f>'январь факт'!E64+'февраль факт'!E64+'март фaкт'!E64+'апрель фaкт'!E64+'май факт'!E64+'июнь факт'!E64+'июль факт'!E64+'август  факт'!E64+'сентябрь  факт'!E64+'октябрь факт'!E64+'ноябрь факт'!E64+'декабрь факт'!E64</f>
        <v>0</v>
      </c>
      <c r="F64" s="19">
        <f>'январь факт'!F64+'февраль факт'!F64+'март фaкт'!F64+'апрель фaкт'!F64+'май факт'!F64+'июнь факт'!F64+'июль факт'!F64+'август  факт'!F64+'сентябрь  факт'!F64+'октябрь факт'!F64+'ноябрь факт'!F64+'декабрь факт'!F64</f>
        <v>0</v>
      </c>
    </row>
    <row r="65" spans="1:6" s="2" customFormat="1" ht="24.75" customHeight="1">
      <c r="A65" s="54" t="s">
        <v>4</v>
      </c>
      <c r="B65" s="5">
        <f t="shared" si="0"/>
        <v>9385.833999999999</v>
      </c>
      <c r="C65" s="23">
        <f>C66+C67</f>
        <v>9385.833999999999</v>
      </c>
      <c r="D65" s="23">
        <f>D66+D67</f>
        <v>0</v>
      </c>
      <c r="E65" s="23">
        <f>E66+E67</f>
        <v>0</v>
      </c>
      <c r="F65" s="24">
        <f>F66+F67</f>
        <v>0</v>
      </c>
    </row>
    <row r="66" spans="1:6" s="2" customFormat="1" ht="21.75" customHeight="1">
      <c r="A66" s="21" t="s">
        <v>18</v>
      </c>
      <c r="B66" s="5">
        <f t="shared" si="0"/>
        <v>9385.833999999999</v>
      </c>
      <c r="C66" s="8">
        <f>'январь факт'!C66+'февраль факт'!C66+'март фaкт'!C66+'апрель фaкт'!C66+'май факт'!C66+'июнь факт'!C66+'июль факт'!C66+'август  факт'!C66+'сентябрь  факт'!C66+'октябрь факт'!C66+'ноябрь факт'!C66+'декабрь факт'!C66</f>
        <v>9385.833999999999</v>
      </c>
      <c r="D66" s="8">
        <f>'январь факт'!D66+'февраль факт'!D66+'март фaкт'!D66+'апрель фaкт'!D66+'май факт'!D66+'июнь факт'!D66+'июль факт'!D66+'август  факт'!D66+'сентябрь  факт'!D66+'октябрь факт'!D66+'ноябрь факт'!D66+'декабрь факт'!D66</f>
        <v>0</v>
      </c>
      <c r="E66" s="8">
        <f>'январь факт'!E66+'февраль факт'!E66+'март фaкт'!E66+'апрель фaкт'!E66+'май факт'!E66+'июнь факт'!E66+'июль факт'!E66+'август  факт'!E66+'сентябрь  факт'!E66+'октябрь факт'!E66+'ноябрь факт'!E66+'декабрь факт'!E66</f>
        <v>0</v>
      </c>
      <c r="F66" s="9">
        <f>'январь факт'!F66+'февраль факт'!F66+'март фaкт'!F66+'апрель фaкт'!F66+'май факт'!F66+'июнь факт'!F66+'июль факт'!F66+'август  факт'!F66+'сентябрь  факт'!F66+'октябрь факт'!F66+'ноябрь факт'!F66+'декабрь факт'!F66</f>
        <v>0</v>
      </c>
    </row>
    <row r="67" spans="1:6" s="2" customFormat="1" ht="18" customHeight="1">
      <c r="A67" s="21" t="s">
        <v>15</v>
      </c>
      <c r="B67" s="5">
        <f t="shared" si="0"/>
        <v>0</v>
      </c>
      <c r="C67" s="23">
        <f>C68+C69</f>
        <v>0</v>
      </c>
      <c r="D67" s="23">
        <f>D68+D69</f>
        <v>0</v>
      </c>
      <c r="E67" s="23">
        <f>E68+E69</f>
        <v>0</v>
      </c>
      <c r="F67" s="24">
        <f>F68+F69</f>
        <v>0</v>
      </c>
    </row>
    <row r="68" spans="1:6" s="2" customFormat="1" ht="19.5" customHeight="1">
      <c r="A68" s="21" t="s">
        <v>16</v>
      </c>
      <c r="B68" s="5">
        <f t="shared" si="0"/>
        <v>0</v>
      </c>
      <c r="C68" s="10">
        <f>'январь факт'!C68+'февраль факт'!C68+'март фaкт'!C68+'апрель фaкт'!C68+'май факт'!C68+'июнь факт'!C68+'июль факт'!C68+'август  факт'!C68+'сентябрь  факт'!C68+'октябрь факт'!C68+'ноябрь факт'!C68+'декабрь факт'!C68</f>
        <v>0</v>
      </c>
      <c r="D68" s="10">
        <f>'январь факт'!D68+'февраль факт'!D68+'март фaкт'!D68+'апрель фaкт'!D68+'май факт'!D68+'июнь факт'!D68+'июль факт'!D68+'август  факт'!D68+'сентябрь  факт'!D68+'октябрь факт'!D68+'ноябрь факт'!D68+'декабрь факт'!D68</f>
        <v>0</v>
      </c>
      <c r="E68" s="10">
        <f>'январь факт'!E68+'февраль факт'!E68+'март фaкт'!E68+'апрель фaкт'!E68+'май факт'!E68+'июнь факт'!E68+'июль факт'!E68+'август  факт'!E68+'сентябрь  факт'!E68+'октябрь факт'!E68+'ноябрь факт'!E68+'декабрь факт'!E68</f>
        <v>0</v>
      </c>
      <c r="F68" s="19">
        <f>'январь факт'!F68+'февраль факт'!F68+'март фaкт'!F68+'апрель фaкт'!F68+'май факт'!F68+'июнь факт'!F68+'июль факт'!F68+'август  факт'!F68+'сентябрь  факт'!F68+'октябрь факт'!F68+'ноябрь факт'!F68+'декабрь факт'!F68</f>
        <v>0</v>
      </c>
    </row>
    <row r="69" spans="1:6" s="2" customFormat="1" ht="19.5" customHeight="1" thickBot="1">
      <c r="A69" s="22" t="s">
        <v>17</v>
      </c>
      <c r="B69" s="72">
        <f>C69+D69+E69+F69</f>
        <v>0</v>
      </c>
      <c r="C69" s="221">
        <f>'январь факт'!C69+'февраль факт'!C69+'март фaкт'!C69+'апрель фaкт'!C69+'май факт'!C69+'июнь факт'!C69+'июль факт'!C69+'август  факт'!C69+'сентябрь  факт'!C69+'октябрь факт'!C69+'ноябрь факт'!C69+'декабрь факт'!C69</f>
        <v>0</v>
      </c>
      <c r="D69" s="221">
        <f>'январь факт'!D69+'февраль факт'!D69+'март фaкт'!D69+'апрель фaкт'!D69+'май факт'!D69+'июнь факт'!D69+'июль факт'!D69+'август  факт'!D69+'сентябрь  факт'!D69+'октябрь факт'!D69+'ноябрь факт'!D69+'декабрь факт'!D69</f>
        <v>0</v>
      </c>
      <c r="E69" s="221">
        <f>'январь факт'!E69+'февраль факт'!E69+'март фaкт'!E69+'апрель фaкт'!E69+'май факт'!E69+'июнь факт'!E69+'июль факт'!E69+'август  факт'!E69+'сентябрь  факт'!E69+'октябрь факт'!E69+'ноябрь факт'!E69+'декабрь факт'!E69</f>
        <v>0</v>
      </c>
      <c r="F69" s="222">
        <f>'январь факт'!F69+'февраль факт'!F69+'март фaкт'!F69+'апрель фaкт'!F69+'май факт'!F69+'июнь факт'!F69+'июль факт'!F69+'август  факт'!F69+'сентябрь  факт'!F69+'октябрь факт'!F69+'ноябрь факт'!F69+'декабрь факт'!F69</f>
        <v>0</v>
      </c>
    </row>
    <row r="70" spans="1:6" s="6" customFormat="1" ht="25.5" customHeight="1">
      <c r="A70" s="140" t="s">
        <v>26</v>
      </c>
      <c r="B70" s="95">
        <f>C70+D70+E70+F70</f>
        <v>4013.353</v>
      </c>
      <c r="C70" s="74">
        <f>'январь факт'!C70+'февраль факт'!C70+'март фaкт'!C70+'апрель фaкт'!C70+'май факт'!C70+'июнь факт'!C70+'июль факт'!C70+'август  факт'!C70+'сентябрь  факт'!C70+'октябрь факт'!C70+'ноябрь факт'!C70+'декабрь факт'!C70</f>
        <v>0</v>
      </c>
      <c r="D70" s="74">
        <f>'январь факт'!D70+'февраль факт'!D70+'март фaкт'!D70+'апрель фaкт'!D70+'май факт'!D70+'июнь факт'!D70+'июль факт'!D70+'август  факт'!D70+'сентябрь  факт'!D70+'октябрь факт'!D70+'ноябрь факт'!D70+'декабрь факт'!D70</f>
        <v>0</v>
      </c>
      <c r="E70" s="74">
        <f>'январь факт'!E70+'февраль факт'!E70+'март фaкт'!E70+'апрель фaкт'!E70+'май факт'!E70+'июнь факт'!E70+'июль факт'!E70+'август  факт'!E70+'сентябрь  факт'!E70+'октябрь факт'!E70+'ноябрь факт'!E70+'декабрь факт'!E70</f>
        <v>4013.353</v>
      </c>
      <c r="F70" s="75">
        <f>'январь факт'!F70+'февраль факт'!F70+'март фaкт'!F70+'апрель фaкт'!F70+'май факт'!F70+'июнь факт'!F70+'июль факт'!F70+'август  факт'!F70+'сентябрь  факт'!F70+'октябрь факт'!F70+'ноябрь факт'!F70+'декабрь факт'!F70</f>
        <v>0</v>
      </c>
    </row>
    <row r="71" spans="1:6" s="3" customFormat="1" ht="18">
      <c r="A71" s="54" t="s">
        <v>27</v>
      </c>
      <c r="B71" s="5">
        <f aca="true" t="shared" si="1" ref="B71:B78">C71+D71+E71+F71</f>
        <v>485.63300000000004</v>
      </c>
      <c r="C71" s="10">
        <f>'январь факт'!C71+'февраль факт'!C71+'март фaкт'!C71+'апрель фaкт'!C71+'май факт'!C71+'июнь факт'!C71+'июль факт'!C71+'август  факт'!C71+'сентябрь  факт'!C71+'октябрь факт'!C71+'ноябрь факт'!C71+'декабрь факт'!C71</f>
        <v>0</v>
      </c>
      <c r="D71" s="10">
        <f>'январь факт'!D71+'февраль факт'!D71+'март фaкт'!D71+'апрель фaкт'!D71+'май факт'!D71+'июнь факт'!D71+'июль факт'!D71+'август  факт'!D71+'сентябрь  факт'!D71+'октябрь факт'!D71+'ноябрь факт'!D71+'декабрь факт'!D71</f>
        <v>0</v>
      </c>
      <c r="E71" s="10">
        <f>'январь факт'!E71+'февраль факт'!E71+'март фaкт'!E71+'апрель фaкт'!E71+'май факт'!E71+'июнь факт'!E71+'июль факт'!E71+'август  факт'!E71+'сентябрь  факт'!E71+'октябрь факт'!E71+'ноябрь факт'!E71+'декабрь факт'!E71</f>
        <v>485.63300000000004</v>
      </c>
      <c r="F71" s="19">
        <f>'январь факт'!F71+'февраль факт'!F71+'март фaкт'!F71+'апрель фaкт'!F71+'май факт'!F71+'июнь факт'!F71+'июль факт'!F71+'август  факт'!F71+'сентябрь  факт'!F71+'октябрь факт'!F71+'ноябрь факт'!F71+'декабрь факт'!F71</f>
        <v>0</v>
      </c>
    </row>
    <row r="72" spans="1:6" s="3" customFormat="1" ht="18">
      <c r="A72" s="54" t="s">
        <v>34</v>
      </c>
      <c r="B72" s="5">
        <f t="shared" si="1"/>
        <v>7567.112000000001</v>
      </c>
      <c r="C72" s="10">
        <f>'январь факт'!C72+'февраль факт'!C72+'март фaкт'!C72+'апрель фaкт'!C72+'май факт'!C72+'июнь факт'!C72+'июль факт'!C72+'август  факт'!C72+'сентябрь  факт'!C72+'октябрь факт'!C72+'ноябрь факт'!C72+'декабрь факт'!C72</f>
        <v>0</v>
      </c>
      <c r="D72" s="10">
        <f>'январь факт'!D72+'февраль факт'!D72+'март фaкт'!D72+'апрель фaкт'!D72+'май факт'!D72+'июнь факт'!D72+'июль факт'!D72+'август  факт'!D72+'сентябрь  факт'!D72+'октябрь факт'!D72+'ноябрь факт'!D72+'декабрь факт'!D72</f>
        <v>0</v>
      </c>
      <c r="E72" s="10">
        <f>'январь факт'!E72+'февраль факт'!E72+'март фaкт'!E72+'апрель фaкт'!E72+'май факт'!E72+'июнь факт'!E72+'июль факт'!E72+'август  факт'!E72+'сентябрь  факт'!E72+'октябрь факт'!E72+'ноябрь факт'!E72+'декабрь факт'!E72</f>
        <v>6671.613000000001</v>
      </c>
      <c r="F72" s="19">
        <f>'январь факт'!F72+'февраль факт'!F72+'март фaкт'!F72+'апрель фaкт'!F72+'май факт'!F72+'июнь факт'!F72+'июль факт'!F72+'август  факт'!F72+'сентябрь  факт'!F72+'октябрь факт'!F72+'ноябрь факт'!F72+'декабрь факт'!F72</f>
        <v>895.499</v>
      </c>
    </row>
    <row r="73" spans="1:6" s="70" customFormat="1" ht="23.25" customHeight="1">
      <c r="A73" s="62" t="s">
        <v>35</v>
      </c>
      <c r="B73" s="5">
        <f t="shared" si="1"/>
        <v>20310.042</v>
      </c>
      <c r="C73" s="10">
        <f>'январь факт'!C73+'февраль факт'!C73+'март фaкт'!C73+'апрель фaкт'!C73+'май факт'!C73+'июнь факт'!C73+'июль факт'!C73+'август  факт'!C73+'сентябрь  факт'!C73+'октябрь факт'!C73+'ноябрь факт'!C73+'декабрь факт'!C73</f>
        <v>18078.57</v>
      </c>
      <c r="D73" s="10">
        <f>'январь факт'!D73+'февраль факт'!D73+'март фaкт'!D73+'апрель фaкт'!D73+'май факт'!D73+'июнь факт'!D73+'июль факт'!D73+'август  факт'!D73+'сентябрь  факт'!D73+'октябрь факт'!D73+'ноябрь факт'!D73+'декабрь факт'!D73</f>
        <v>0</v>
      </c>
      <c r="E73" s="10">
        <f>'январь факт'!E73+'февраль факт'!E73+'март фaкт'!E73+'апрель фaкт'!E73+'май факт'!E73+'июнь факт'!E73+'июль факт'!E73+'август  факт'!E73+'сентябрь  факт'!E73+'октябрь факт'!E73+'ноябрь факт'!E73+'декабрь факт'!E73</f>
        <v>2087.04</v>
      </c>
      <c r="F73" s="19">
        <f>'январь факт'!F73+'февраль факт'!F73+'март фaкт'!F73+'апрель фaкт'!F73+'май факт'!F73+'июнь факт'!F73+'июль факт'!F73+'август  факт'!F73+'сентябрь  факт'!F73+'октябрь факт'!F73+'ноябрь факт'!F73+'декабрь факт'!F73</f>
        <v>144.432</v>
      </c>
    </row>
    <row r="74" spans="1:6" s="70" customFormat="1" ht="23.25" customHeight="1">
      <c r="A74" s="54" t="s">
        <v>28</v>
      </c>
      <c r="B74" s="5">
        <f t="shared" si="1"/>
        <v>9585.539999999999</v>
      </c>
      <c r="C74" s="10">
        <f>'январь факт'!C74+'февраль факт'!C74+'март фaкт'!C74+'апрель фaкт'!C74+'май факт'!C74+'июнь факт'!C74+'июль факт'!C74+'август  факт'!C74+'сентябрь  факт'!C74+'октябрь факт'!C74+'ноябрь факт'!C74+'декабрь факт'!C74</f>
        <v>6363.351999999998</v>
      </c>
      <c r="D74" s="10">
        <f>'январь факт'!D74+'февраль факт'!D74+'март фaкт'!D74+'апрель фaкт'!D74+'май факт'!D74+'июнь факт'!D74+'июль факт'!D74+'август  факт'!D74+'сентябрь  факт'!D74+'октябрь факт'!D74+'ноябрь факт'!D74+'декабрь факт'!D74</f>
        <v>0</v>
      </c>
      <c r="E74" s="10">
        <f>'январь факт'!E74+'февраль факт'!E74+'март фaкт'!E74+'апрель фaкт'!E74+'май факт'!E74+'июнь факт'!E74+'июль факт'!E74+'август  факт'!E74+'сентябрь  факт'!E74+'октябрь факт'!E74+'ноябрь факт'!E74+'декабрь факт'!E74</f>
        <v>2357.1980000000003</v>
      </c>
      <c r="F74" s="19">
        <f>'январь факт'!F74+'февраль факт'!F74+'март фaкт'!F74+'апрель фaкт'!F74+'май факт'!F74+'июнь факт'!F74+'июль факт'!F74+'август  факт'!F74+'сентябрь  факт'!F74+'октябрь факт'!F74+'ноябрь факт'!F74+'декабрь факт'!F74</f>
        <v>864.99</v>
      </c>
    </row>
    <row r="75" spans="1:6" s="70" customFormat="1" ht="23.25" customHeight="1">
      <c r="A75" s="62" t="s">
        <v>29</v>
      </c>
      <c r="B75" s="104">
        <f t="shared" si="1"/>
        <v>6102.512</v>
      </c>
      <c r="C75" s="10">
        <f>'январь факт'!C75+'февраль факт'!C75+'март фaкт'!C75+'апрель фaкт'!C75+'май факт'!C75+'июнь факт'!C75+'июль факт'!C75+'август  факт'!C75+'сентябрь  факт'!C75+'октябрь факт'!C75+'ноябрь факт'!C75+'декабрь факт'!C75</f>
        <v>0</v>
      </c>
      <c r="D75" s="10">
        <f>'январь факт'!D75+'февраль факт'!D75+'март фaкт'!D75+'апрель фaкт'!D75+'май факт'!D75+'июнь факт'!D75+'июль факт'!D75+'август  факт'!D75+'сентябрь  факт'!D75+'октябрь факт'!D75+'ноябрь факт'!D75+'декабрь факт'!D75</f>
        <v>0</v>
      </c>
      <c r="E75" s="10">
        <f>'январь факт'!E75+'февраль факт'!E75+'март фaкт'!E75+'апрель фaкт'!E75+'май факт'!E75+'июнь факт'!E75+'июль факт'!E75+'август  факт'!E75+'сентябрь  факт'!E75+'октябрь факт'!E75+'ноябрь факт'!E75+'декабрь факт'!E75</f>
        <v>6102.512</v>
      </c>
      <c r="F75" s="19">
        <f>'январь факт'!F75+'февраль факт'!F75+'март фaкт'!F75+'апрель фaкт'!F75+'май факт'!F75+'июнь факт'!F75+'июль факт'!F75+'август  факт'!F75+'сентябрь  факт'!F75+'октябрь факт'!F75+'ноябрь факт'!F75+'декабрь факт'!F75</f>
        <v>0</v>
      </c>
    </row>
    <row r="76" spans="1:6" s="70" customFormat="1" ht="23.25" customHeight="1">
      <c r="A76" s="105" t="s">
        <v>30</v>
      </c>
      <c r="B76" s="104">
        <f t="shared" si="1"/>
        <v>709.89</v>
      </c>
      <c r="C76" s="10">
        <f>'январь факт'!C76+'февраль факт'!C76+'март фaкт'!C76+'апрель фaкт'!C76+'май факт'!C76+'июнь факт'!C76+'июль факт'!C76+'август  факт'!C76+'сентябрь  факт'!C76+'октябрь факт'!C76+'ноябрь факт'!C76+'декабрь факт'!C76</f>
        <v>0</v>
      </c>
      <c r="D76" s="10">
        <f>'январь факт'!D76+'февраль факт'!D76+'март фaкт'!D76+'апрель фaкт'!D76+'май факт'!D76+'июнь факт'!D76+'июль факт'!D76+'август  факт'!D76+'сентябрь  факт'!D76+'октябрь факт'!D76+'ноябрь факт'!D76+'декабрь факт'!D76</f>
        <v>0</v>
      </c>
      <c r="E76" s="10">
        <f>'январь факт'!E76+'февраль факт'!E76+'март фaкт'!E76+'апрель фaкт'!E76+'май факт'!E76+'июнь факт'!E76+'июль факт'!E76+'август  факт'!E76+'сентябрь  факт'!E76+'октябрь факт'!E76+'ноябрь факт'!E76+'декабрь факт'!E76</f>
        <v>0</v>
      </c>
      <c r="F76" s="19">
        <f>'январь факт'!F76+'февраль факт'!F76+'март фaкт'!F76+'апрель фaкт'!F76+'май факт'!F76+'июнь факт'!F76+'июль факт'!F76+'август  факт'!F76+'сентябрь  факт'!F76+'октябрь факт'!F76+'ноябрь факт'!F76+'декабрь факт'!F76</f>
        <v>709.89</v>
      </c>
    </row>
    <row r="77" spans="1:6" s="70" customFormat="1" ht="23.25" customHeight="1" thickBot="1">
      <c r="A77" s="106" t="s">
        <v>31</v>
      </c>
      <c r="B77" s="107">
        <f t="shared" si="1"/>
        <v>2164.567</v>
      </c>
      <c r="C77" s="30">
        <f>'январь факт'!C77+'февраль факт'!C77+'март фaкт'!C77+'апрель фaкт'!C77+'май факт'!C77+'июнь факт'!C77+'июль факт'!C77+'август  факт'!C77+'сентябрь  факт'!C77+'октябрь факт'!C77+'ноябрь факт'!C77+'декабрь факт'!C77</f>
        <v>0</v>
      </c>
      <c r="D77" s="30">
        <f>'январь факт'!D77+'февраль факт'!D77+'март фaкт'!D77+'апрель фaкт'!D77+'май факт'!D77+'июнь факт'!D77+'июль факт'!D77+'август  факт'!D77+'сентябрь  факт'!D77+'октябрь факт'!D77+'ноябрь факт'!D77+'декабрь факт'!D77</f>
        <v>0</v>
      </c>
      <c r="E77" s="30">
        <f>'январь факт'!E77+'февраль факт'!E77+'март фaкт'!E77+'апрель фaкт'!E77+'май факт'!E77+'июнь факт'!E77+'июль факт'!E77+'август  факт'!E77+'сентябрь  факт'!E77+'октябрь факт'!E77+'ноябрь факт'!E77+'декабрь факт'!E77</f>
        <v>93.11800000000001</v>
      </c>
      <c r="F77" s="31">
        <f>'январь факт'!F77+'февраль факт'!F77+'март фaкт'!F77+'апрель фaкт'!F77+'май факт'!F77+'июнь факт'!F77+'июль факт'!F77+'август  факт'!F77+'сентябрь  факт'!F77+'октябрь факт'!F77+'ноябрь факт'!F77+'декабрь факт'!F77</f>
        <v>2071.449</v>
      </c>
    </row>
    <row r="78" spans="1:6" s="70" customFormat="1" ht="23.25" customHeight="1" thickBot="1">
      <c r="A78" s="110" t="s">
        <v>40</v>
      </c>
      <c r="B78" s="111">
        <f t="shared" si="1"/>
        <v>1428105.167</v>
      </c>
      <c r="C78" s="112">
        <f>C5+C10+C15+C20+C25+C30+C35+C40+C45+C50+C55+C60+C65+C70+C71+C72+C73+C74+C75+C76+C77</f>
        <v>594312.0689999999</v>
      </c>
      <c r="D78" s="112">
        <f>D5+D10+D15+D20+D25+D30+D35+D40+D45+D50+D55+D60+D65+D70+D71+D72+D73+D74+D75+D76+D77</f>
        <v>22731.778</v>
      </c>
      <c r="E78" s="112">
        <f>E5+E10+E15+E20+E25+E30+E35+E40+E45+E50+E55+E60+E65+E70+E71+E72+E73+E74+E75+E76+E77</f>
        <v>363653.913</v>
      </c>
      <c r="F78" s="112">
        <f>F5+F10+F15+F20+F25+F30+F35+F40+F45+F50+F55+F60+F65+F70+F71+F72+F73+F74+F75+F76+F77</f>
        <v>447407.407</v>
      </c>
    </row>
    <row r="79" spans="1:6" s="70" customFormat="1" ht="23.25" customHeight="1">
      <c r="A79" s="3"/>
      <c r="B79" s="3"/>
      <c r="C79" s="3"/>
      <c r="D79" s="3"/>
      <c r="E79" s="3"/>
      <c r="F79" s="3"/>
    </row>
  </sheetData>
  <sheetProtection/>
  <mergeCells count="2">
    <mergeCell ref="A1:F1"/>
    <mergeCell ref="A2:F2"/>
  </mergeCells>
  <printOptions horizontalCentered="1"/>
  <pageMargins left="0.043307086614173235" right="0.03937007874015748" top="0.3937007874015748" bottom="0.03937007874015748" header="0.5118110236220472" footer="0.5118110236220472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6" sqref="C36:F39"/>
    </sheetView>
  </sheetViews>
  <sheetFormatPr defaultColWidth="9.00390625" defaultRowHeight="12.75"/>
  <cols>
    <col min="1" max="1" width="55.00390625" style="0" customWidth="1"/>
    <col min="2" max="6" width="25.25390625" style="0" customWidth="1"/>
    <col min="7" max="7" width="11.75390625" style="0" customWidth="1"/>
    <col min="8" max="8" width="22.75390625" style="0" customWidth="1"/>
    <col min="9" max="9" width="14.875" style="0" customWidth="1"/>
    <col min="10" max="10" width="18.125" style="0" customWidth="1"/>
    <col min="11" max="11" width="15.125" style="0" customWidth="1"/>
    <col min="12" max="12" width="13.0039062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46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10" s="2" customFormat="1" ht="20.25" customHeight="1" thickBot="1">
      <c r="A4" s="78" t="s">
        <v>20</v>
      </c>
      <c r="B4" s="113"/>
      <c r="C4" s="92" t="s">
        <v>0</v>
      </c>
      <c r="D4" s="92" t="s">
        <v>1</v>
      </c>
      <c r="E4" s="92" t="s">
        <v>2</v>
      </c>
      <c r="F4" s="93" t="s">
        <v>3</v>
      </c>
      <c r="G4" s="13"/>
      <c r="J4" s="6"/>
    </row>
    <row r="5" spans="1:10" s="2" customFormat="1" ht="36.75" customHeight="1">
      <c r="A5" s="82" t="s">
        <v>7</v>
      </c>
      <c r="B5" s="114">
        <f aca="true" t="shared" si="0" ref="B5:B69">C5+D5+E5+F5</f>
        <v>92858.60100000002</v>
      </c>
      <c r="C5" s="115">
        <f>C6+C7</f>
        <v>39717.740000000005</v>
      </c>
      <c r="D5" s="115">
        <f>D6+D7</f>
        <v>1632.228</v>
      </c>
      <c r="E5" s="115">
        <f>E6+E7</f>
        <v>23305.259000000002</v>
      </c>
      <c r="F5" s="116">
        <f>F6+F7</f>
        <v>28203.374000000003</v>
      </c>
      <c r="G5" s="13"/>
      <c r="J5" s="117"/>
    </row>
    <row r="6" spans="1:10" s="2" customFormat="1" ht="24.75" customHeight="1">
      <c r="A6" s="36" t="s">
        <v>18</v>
      </c>
      <c r="B6" s="34">
        <f t="shared" si="0"/>
        <v>76709.766</v>
      </c>
      <c r="C6" s="8">
        <v>39400.188</v>
      </c>
      <c r="D6" s="8">
        <v>1631.048</v>
      </c>
      <c r="E6" s="8">
        <v>22526.847</v>
      </c>
      <c r="F6" s="9">
        <v>13151.683</v>
      </c>
      <c r="G6" s="7"/>
      <c r="J6" s="118"/>
    </row>
    <row r="7" spans="1:10" s="2" customFormat="1" ht="27" customHeight="1">
      <c r="A7" s="36" t="s">
        <v>15</v>
      </c>
      <c r="B7" s="34">
        <f t="shared" si="0"/>
        <v>16148.835000000001</v>
      </c>
      <c r="C7" s="8">
        <f>C8+C9</f>
        <v>317.552</v>
      </c>
      <c r="D7" s="17">
        <f>D8+D9</f>
        <v>1.18</v>
      </c>
      <c r="E7" s="17">
        <f>E8+E9</f>
        <v>778.412</v>
      </c>
      <c r="F7" s="18">
        <f>F8+F9</f>
        <v>15051.691</v>
      </c>
      <c r="G7" s="14"/>
      <c r="J7" s="118"/>
    </row>
    <row r="8" spans="1:10" s="2" customFormat="1" ht="21.75" customHeight="1">
      <c r="A8" s="36" t="s">
        <v>16</v>
      </c>
      <c r="B8" s="34">
        <f t="shared" si="0"/>
        <v>4740.369000000001</v>
      </c>
      <c r="C8" s="11">
        <v>48.899</v>
      </c>
      <c r="D8" s="11"/>
      <c r="E8" s="11">
        <v>153.692</v>
      </c>
      <c r="F8" s="12">
        <v>4537.778</v>
      </c>
      <c r="G8" s="13"/>
      <c r="J8" s="6"/>
    </row>
    <row r="9" spans="1:10" s="2" customFormat="1" ht="19.5" customHeight="1">
      <c r="A9" s="36" t="s">
        <v>17</v>
      </c>
      <c r="B9" s="34">
        <f t="shared" si="0"/>
        <v>11408.466</v>
      </c>
      <c r="C9" s="11">
        <v>268.653</v>
      </c>
      <c r="D9" s="11">
        <v>1.18</v>
      </c>
      <c r="E9" s="11">
        <v>624.72</v>
      </c>
      <c r="F9" s="12">
        <v>10513.913</v>
      </c>
      <c r="G9" s="13"/>
      <c r="J9" s="41"/>
    </row>
    <row r="10" spans="1:10" s="2" customFormat="1" ht="17.25" customHeight="1">
      <c r="A10" s="86" t="s">
        <v>13</v>
      </c>
      <c r="B10" s="34">
        <f t="shared" si="0"/>
        <v>6507.802</v>
      </c>
      <c r="C10" s="17">
        <f>C11+C12</f>
        <v>957.95</v>
      </c>
      <c r="D10" s="17"/>
      <c r="E10" s="17">
        <f>E11+E12</f>
        <v>2408.245</v>
      </c>
      <c r="F10" s="18">
        <f>F11+F12</f>
        <v>3141.607</v>
      </c>
      <c r="G10" s="13"/>
      <c r="J10" s="6"/>
    </row>
    <row r="11" spans="1:10" s="2" customFormat="1" ht="17.25" customHeight="1">
      <c r="A11" s="36" t="s">
        <v>18</v>
      </c>
      <c r="B11" s="34">
        <f t="shared" si="0"/>
        <v>4207.705</v>
      </c>
      <c r="C11" s="8">
        <v>853.33</v>
      </c>
      <c r="D11" s="8"/>
      <c r="E11" s="8">
        <v>2024.233</v>
      </c>
      <c r="F11" s="9">
        <v>1330.142</v>
      </c>
      <c r="G11" s="13"/>
      <c r="J11" s="6"/>
    </row>
    <row r="12" spans="1:10" s="2" customFormat="1" ht="35.25" customHeight="1">
      <c r="A12" s="36" t="s">
        <v>15</v>
      </c>
      <c r="B12" s="34">
        <f t="shared" si="0"/>
        <v>2300.0969999999998</v>
      </c>
      <c r="C12" s="17">
        <f>C13+C14</f>
        <v>104.62</v>
      </c>
      <c r="D12" s="8"/>
      <c r="E12" s="17">
        <f>E13+E14</f>
        <v>384.012</v>
      </c>
      <c r="F12" s="18">
        <f>F13+F14</f>
        <v>1811.465</v>
      </c>
      <c r="G12" s="6"/>
      <c r="J12" s="6"/>
    </row>
    <row r="13" spans="1:7" s="2" customFormat="1" ht="19.5" customHeight="1">
      <c r="A13" s="36" t="s">
        <v>16</v>
      </c>
      <c r="B13" s="34">
        <f t="shared" si="0"/>
        <v>1275.959</v>
      </c>
      <c r="C13" s="11"/>
      <c r="D13" s="11"/>
      <c r="E13" s="11">
        <v>69.621</v>
      </c>
      <c r="F13" s="12">
        <v>1206.338</v>
      </c>
      <c r="G13" s="6"/>
    </row>
    <row r="14" spans="1:7" s="2" customFormat="1" ht="18" customHeight="1">
      <c r="A14" s="36" t="s">
        <v>17</v>
      </c>
      <c r="B14" s="34">
        <f t="shared" si="0"/>
        <v>1024.138</v>
      </c>
      <c r="C14" s="11">
        <v>104.62</v>
      </c>
      <c r="D14" s="11"/>
      <c r="E14" s="11">
        <v>314.391</v>
      </c>
      <c r="F14" s="12">
        <v>605.127</v>
      </c>
      <c r="G14" s="6"/>
    </row>
    <row r="15" spans="1:7" s="2" customFormat="1" ht="19.5" customHeight="1">
      <c r="A15" s="86" t="s">
        <v>6</v>
      </c>
      <c r="B15" s="34">
        <f t="shared" si="0"/>
        <v>1698.645</v>
      </c>
      <c r="C15" s="17">
        <f>C16+C17</f>
        <v>1698.645</v>
      </c>
      <c r="D15" s="8"/>
      <c r="E15" s="8"/>
      <c r="F15" s="9"/>
      <c r="G15" s="6"/>
    </row>
    <row r="16" spans="1:7" s="2" customFormat="1" ht="19.5" customHeight="1">
      <c r="A16" s="36" t="s">
        <v>18</v>
      </c>
      <c r="B16" s="34">
        <f t="shared" si="0"/>
        <v>1698.396</v>
      </c>
      <c r="C16" s="8">
        <v>1698.396</v>
      </c>
      <c r="D16" s="8"/>
      <c r="E16" s="17"/>
      <c r="F16" s="18"/>
      <c r="G16" s="6"/>
    </row>
    <row r="17" spans="1:13" s="2" customFormat="1" ht="42.75" customHeight="1">
      <c r="A17" s="36" t="s">
        <v>15</v>
      </c>
      <c r="B17" s="34">
        <f t="shared" si="0"/>
        <v>0.249</v>
      </c>
      <c r="C17" s="17">
        <f>C18+C19</f>
        <v>0.249</v>
      </c>
      <c r="D17" s="8"/>
      <c r="E17" s="17">
        <f>E18+E19</f>
        <v>0</v>
      </c>
      <c r="F17" s="18">
        <f>F18+F19</f>
        <v>0</v>
      </c>
      <c r="G17" s="14"/>
      <c r="I17" s="40"/>
      <c r="J17" s="32"/>
      <c r="K17" s="32"/>
      <c r="L17" s="32"/>
      <c r="M17" s="32"/>
    </row>
    <row r="18" spans="1:13" s="2" customFormat="1" ht="21.75" customHeight="1">
      <c r="A18" s="36" t="s">
        <v>16</v>
      </c>
      <c r="B18" s="34">
        <f t="shared" si="0"/>
        <v>0.249</v>
      </c>
      <c r="C18" s="11">
        <v>0.249</v>
      </c>
      <c r="D18" s="11"/>
      <c r="E18" s="11"/>
      <c r="F18" s="12"/>
      <c r="G18" s="14"/>
      <c r="I18" s="40"/>
      <c r="J18" s="40"/>
      <c r="K18" s="40"/>
      <c r="L18" s="40"/>
      <c r="M18" s="40"/>
    </row>
    <row r="19" spans="1:13" s="2" customFormat="1" ht="21" customHeight="1">
      <c r="A19" s="36" t="s">
        <v>17</v>
      </c>
      <c r="B19" s="34">
        <f t="shared" si="0"/>
        <v>0</v>
      </c>
      <c r="C19" s="11"/>
      <c r="D19" s="11"/>
      <c r="E19" s="11"/>
      <c r="F19" s="12"/>
      <c r="G19" s="14"/>
      <c r="I19" s="40"/>
      <c r="J19" s="40"/>
      <c r="K19" s="40"/>
      <c r="L19" s="32"/>
      <c r="M19" s="32"/>
    </row>
    <row r="20" spans="1:13" s="2" customFormat="1" ht="21.75" customHeight="1">
      <c r="A20" s="86" t="s">
        <v>36</v>
      </c>
      <c r="B20" s="34">
        <f t="shared" si="0"/>
        <v>1171.2119999999998</v>
      </c>
      <c r="C20" s="17">
        <f>C21+C22</f>
        <v>9.322</v>
      </c>
      <c r="D20" s="17">
        <f>D21+D22</f>
        <v>1064.962</v>
      </c>
      <c r="E20" s="17">
        <f>E21+E22</f>
        <v>27.216</v>
      </c>
      <c r="F20" s="18">
        <f>F21+F22</f>
        <v>69.71199999999999</v>
      </c>
      <c r="G20" s="14"/>
      <c r="I20" s="40"/>
      <c r="J20" s="68"/>
      <c r="K20" s="68"/>
      <c r="L20" s="68"/>
      <c r="M20" s="68"/>
    </row>
    <row r="21" spans="1:13" s="2" customFormat="1" ht="21" customHeight="1">
      <c r="A21" s="36" t="s">
        <v>18</v>
      </c>
      <c r="B21" s="34">
        <f t="shared" si="0"/>
        <v>1151.4919999999997</v>
      </c>
      <c r="C21" s="8">
        <v>9.322</v>
      </c>
      <c r="D21" s="8">
        <v>1064.962</v>
      </c>
      <c r="E21" s="8">
        <v>27.216</v>
      </c>
      <c r="F21" s="9">
        <v>49.992</v>
      </c>
      <c r="G21" s="14"/>
      <c r="I21" s="40"/>
      <c r="J21" s="68"/>
      <c r="K21" s="68"/>
      <c r="L21" s="68"/>
      <c r="M21" s="68"/>
    </row>
    <row r="22" spans="1:13" s="2" customFormat="1" ht="39" customHeight="1">
      <c r="A22" s="36" t="s">
        <v>15</v>
      </c>
      <c r="B22" s="34">
        <f t="shared" si="0"/>
        <v>19.72</v>
      </c>
      <c r="C22" s="8"/>
      <c r="D22" s="8"/>
      <c r="E22" s="17">
        <f>E23+E24</f>
        <v>0</v>
      </c>
      <c r="F22" s="18">
        <f>F23+F24</f>
        <v>19.72</v>
      </c>
      <c r="G22" s="14"/>
      <c r="I22" s="4"/>
      <c r="J22" s="4"/>
      <c r="K22" s="4"/>
      <c r="L22" s="4"/>
      <c r="M22" s="4"/>
    </row>
    <row r="23" spans="1:7" s="2" customFormat="1" ht="19.5" customHeight="1">
      <c r="A23" s="36" t="s">
        <v>16</v>
      </c>
      <c r="B23" s="34">
        <f t="shared" si="0"/>
        <v>19.72</v>
      </c>
      <c r="C23" s="11"/>
      <c r="D23" s="11"/>
      <c r="E23" s="11"/>
      <c r="F23" s="12">
        <v>19.72</v>
      </c>
      <c r="G23" s="13"/>
    </row>
    <row r="24" spans="1:7" s="2" customFormat="1" ht="20.25" customHeight="1">
      <c r="A24" s="36" t="s">
        <v>17</v>
      </c>
      <c r="B24" s="34">
        <f t="shared" si="0"/>
        <v>0</v>
      </c>
      <c r="C24" s="11"/>
      <c r="D24" s="11"/>
      <c r="E24" s="11"/>
      <c r="F24" s="12"/>
      <c r="G24" s="13"/>
    </row>
    <row r="25" spans="1:7" s="2" customFormat="1" ht="20.25" customHeight="1">
      <c r="A25" s="86" t="s">
        <v>8</v>
      </c>
      <c r="B25" s="34">
        <f t="shared" si="0"/>
        <v>12374.116</v>
      </c>
      <c r="C25" s="17">
        <f>C26+C27</f>
        <v>6260.63</v>
      </c>
      <c r="D25" s="17"/>
      <c r="E25" s="17">
        <f>E26+E27</f>
        <v>2257.3759999999997</v>
      </c>
      <c r="F25" s="18">
        <f>F26+F27</f>
        <v>3856.1100000000006</v>
      </c>
      <c r="G25" s="13"/>
    </row>
    <row r="26" spans="1:7" s="2" customFormat="1" ht="20.25" customHeight="1">
      <c r="A26" s="36" t="s">
        <v>18</v>
      </c>
      <c r="B26" s="34">
        <f t="shared" si="0"/>
        <v>9853.821</v>
      </c>
      <c r="C26" s="8">
        <v>6260.63</v>
      </c>
      <c r="D26" s="8"/>
      <c r="E26" s="17">
        <v>2221.97</v>
      </c>
      <c r="F26" s="18">
        <v>1371.221</v>
      </c>
      <c r="G26" s="13"/>
    </row>
    <row r="27" spans="1:7" s="2" customFormat="1" ht="39" customHeight="1">
      <c r="A27" s="36" t="s">
        <v>15</v>
      </c>
      <c r="B27" s="34">
        <f t="shared" si="0"/>
        <v>2520.2950000000005</v>
      </c>
      <c r="C27" s="8"/>
      <c r="D27" s="8"/>
      <c r="E27" s="17">
        <f>E28+E29</f>
        <v>35.406</v>
      </c>
      <c r="F27" s="18">
        <f>F28+F29</f>
        <v>2484.8890000000006</v>
      </c>
      <c r="G27" s="6"/>
    </row>
    <row r="28" spans="1:7" s="2" customFormat="1" ht="22.5" customHeight="1">
      <c r="A28" s="36" t="s">
        <v>16</v>
      </c>
      <c r="B28" s="34">
        <f t="shared" si="0"/>
        <v>2488.7560000000003</v>
      </c>
      <c r="C28" s="11"/>
      <c r="D28" s="11"/>
      <c r="E28" s="11">
        <v>35.406</v>
      </c>
      <c r="F28" s="12">
        <f>2289.09+164.26</f>
        <v>2453.3500000000004</v>
      </c>
      <c r="G28" s="6"/>
    </row>
    <row r="29" spans="1:7" s="2" customFormat="1" ht="24.75" customHeight="1">
      <c r="A29" s="36" t="s">
        <v>17</v>
      </c>
      <c r="B29" s="34">
        <f t="shared" si="0"/>
        <v>31.539</v>
      </c>
      <c r="C29" s="11"/>
      <c r="D29" s="11"/>
      <c r="E29" s="11"/>
      <c r="F29" s="12">
        <v>31.539</v>
      </c>
      <c r="G29" s="6"/>
    </row>
    <row r="30" spans="1:7" s="2" customFormat="1" ht="18" customHeight="1">
      <c r="A30" s="86" t="s">
        <v>9</v>
      </c>
      <c r="B30" s="34">
        <f t="shared" si="0"/>
        <v>118.188</v>
      </c>
      <c r="C30" s="17"/>
      <c r="D30" s="17"/>
      <c r="E30" s="17">
        <f>E31+E32</f>
        <v>85.025</v>
      </c>
      <c r="F30" s="18">
        <f>F31+F32</f>
        <v>33.163</v>
      </c>
      <c r="G30" s="6"/>
    </row>
    <row r="31" spans="1:7" s="2" customFormat="1" ht="18" customHeight="1">
      <c r="A31" s="36" t="s">
        <v>18</v>
      </c>
      <c r="B31" s="34">
        <f t="shared" si="0"/>
        <v>96.622</v>
      </c>
      <c r="C31" s="8"/>
      <c r="D31" s="8"/>
      <c r="E31" s="17">
        <v>85.025</v>
      </c>
      <c r="F31" s="18">
        <v>11.597</v>
      </c>
      <c r="G31" s="6"/>
    </row>
    <row r="32" spans="1:13" s="2" customFormat="1" ht="25.5" customHeight="1">
      <c r="A32" s="36" t="s">
        <v>15</v>
      </c>
      <c r="B32" s="34">
        <f t="shared" si="0"/>
        <v>21.566</v>
      </c>
      <c r="C32" s="8"/>
      <c r="D32" s="8"/>
      <c r="E32" s="17">
        <f>E33+E34</f>
        <v>0</v>
      </c>
      <c r="F32" s="18">
        <f>F33+F34</f>
        <v>21.566</v>
      </c>
      <c r="G32" s="6"/>
      <c r="I32" s="40"/>
      <c r="J32" s="32"/>
      <c r="K32" s="73"/>
      <c r="L32" s="32"/>
      <c r="M32" s="32"/>
    </row>
    <row r="33" spans="1:13" s="2" customFormat="1" ht="23.25" customHeight="1">
      <c r="A33" s="36" t="s">
        <v>16</v>
      </c>
      <c r="B33" s="34">
        <f t="shared" si="0"/>
        <v>16.386</v>
      </c>
      <c r="C33" s="11"/>
      <c r="D33" s="11"/>
      <c r="E33" s="11"/>
      <c r="F33" s="12">
        <v>16.386</v>
      </c>
      <c r="G33" s="6"/>
      <c r="I33" s="40"/>
      <c r="J33" s="40"/>
      <c r="K33" s="40"/>
      <c r="L33" s="40"/>
      <c r="M33" s="40"/>
    </row>
    <row r="34" spans="1:13" s="2" customFormat="1" ht="23.25" customHeight="1">
      <c r="A34" s="36" t="s">
        <v>17</v>
      </c>
      <c r="B34" s="34">
        <f t="shared" si="0"/>
        <v>5.18</v>
      </c>
      <c r="C34" s="11"/>
      <c r="D34" s="11"/>
      <c r="E34" s="11"/>
      <c r="F34" s="12">
        <v>5.18</v>
      </c>
      <c r="G34" s="6"/>
      <c r="I34" s="40"/>
      <c r="J34" s="32"/>
      <c r="K34" s="40"/>
      <c r="L34" s="32"/>
      <c r="M34" s="32"/>
    </row>
    <row r="35" spans="1:13" s="2" customFormat="1" ht="23.25" customHeight="1">
      <c r="A35" s="86" t="s">
        <v>32</v>
      </c>
      <c r="B35" s="34">
        <f t="shared" si="0"/>
        <v>233.96699999999998</v>
      </c>
      <c r="C35" s="17">
        <f>C36+C37</f>
        <v>142.617</v>
      </c>
      <c r="D35" s="23"/>
      <c r="E35" s="17">
        <f>E36+E37</f>
        <v>69.43</v>
      </c>
      <c r="F35" s="18">
        <f>F36+F37</f>
        <v>21.92</v>
      </c>
      <c r="G35" s="6"/>
      <c r="I35" s="40"/>
      <c r="J35" s="73"/>
      <c r="K35" s="73"/>
      <c r="L35" s="73"/>
      <c r="M35" s="39"/>
    </row>
    <row r="36" spans="1:13" s="2" customFormat="1" ht="23.25" customHeight="1">
      <c r="A36" s="36" t="s">
        <v>18</v>
      </c>
      <c r="B36" s="34">
        <f t="shared" si="0"/>
        <v>212.047</v>
      </c>
      <c r="C36" s="8">
        <v>142.617</v>
      </c>
      <c r="D36" s="8"/>
      <c r="E36" s="8">
        <v>69.43</v>
      </c>
      <c r="F36" s="9"/>
      <c r="G36" s="6"/>
      <c r="I36" s="40"/>
      <c r="J36" s="73"/>
      <c r="K36" s="73"/>
      <c r="L36" s="73"/>
      <c r="M36" s="39"/>
    </row>
    <row r="37" spans="1:13" s="2" customFormat="1" ht="25.5" customHeight="1">
      <c r="A37" s="36" t="s">
        <v>15</v>
      </c>
      <c r="B37" s="34">
        <f t="shared" si="0"/>
        <v>21.92</v>
      </c>
      <c r="C37" s="23">
        <f>C38+C39</f>
        <v>0</v>
      </c>
      <c r="D37" s="8"/>
      <c r="E37" s="23">
        <f>E38+E39</f>
        <v>0</v>
      </c>
      <c r="F37" s="24">
        <f>F38+F39</f>
        <v>21.92</v>
      </c>
      <c r="G37" s="6"/>
      <c r="H37" s="6"/>
      <c r="I37" s="4"/>
      <c r="J37" s="4"/>
      <c r="K37" s="4"/>
      <c r="L37" s="4"/>
      <c r="M37" s="4"/>
    </row>
    <row r="38" spans="1:7" s="2" customFormat="1" ht="19.5" customHeight="1">
      <c r="A38" s="36" t="s">
        <v>16</v>
      </c>
      <c r="B38" s="34">
        <f t="shared" si="0"/>
        <v>0</v>
      </c>
      <c r="C38" s="208"/>
      <c r="D38" s="208"/>
      <c r="E38" s="208"/>
      <c r="F38" s="12"/>
      <c r="G38" s="6"/>
    </row>
    <row r="39" spans="1:7" s="2" customFormat="1" ht="19.5" customHeight="1">
      <c r="A39" s="36" t="s">
        <v>17</v>
      </c>
      <c r="B39" s="34">
        <f t="shared" si="0"/>
        <v>21.92</v>
      </c>
      <c r="C39" s="208"/>
      <c r="D39" s="208"/>
      <c r="E39" s="208"/>
      <c r="F39" s="12">
        <v>21.92</v>
      </c>
      <c r="G39" s="6"/>
    </row>
    <row r="40" spans="1:7" s="2" customFormat="1" ht="19.5" customHeight="1">
      <c r="A40" s="86" t="s">
        <v>33</v>
      </c>
      <c r="B40" s="34">
        <f t="shared" si="0"/>
        <v>44.269999999999996</v>
      </c>
      <c r="C40" s="23">
        <f>C41+C42</f>
        <v>1.958</v>
      </c>
      <c r="D40" s="23">
        <f>D41+D42</f>
        <v>0</v>
      </c>
      <c r="E40" s="23">
        <f>E41+E42</f>
        <v>42.312</v>
      </c>
      <c r="F40" s="24">
        <f>F41+F42</f>
        <v>0</v>
      </c>
      <c r="G40" s="6"/>
    </row>
    <row r="41" spans="1:7" s="2" customFormat="1" ht="19.5" customHeight="1">
      <c r="A41" s="36" t="s">
        <v>18</v>
      </c>
      <c r="B41" s="34">
        <f t="shared" si="0"/>
        <v>44.269999999999996</v>
      </c>
      <c r="C41" s="8">
        <v>1.958</v>
      </c>
      <c r="D41" s="8"/>
      <c r="E41" s="8">
        <v>42.312</v>
      </c>
      <c r="F41" s="9"/>
      <c r="G41" s="6"/>
    </row>
    <row r="42" spans="1:13" s="2" customFormat="1" ht="24.75" customHeight="1">
      <c r="A42" s="36" t="s">
        <v>15</v>
      </c>
      <c r="B42" s="34">
        <f t="shared" si="0"/>
        <v>0</v>
      </c>
      <c r="C42" s="8"/>
      <c r="D42" s="8"/>
      <c r="E42" s="17">
        <f>E43+E44</f>
        <v>0</v>
      </c>
      <c r="F42" s="18">
        <f>F43+F44</f>
        <v>0</v>
      </c>
      <c r="G42" s="14"/>
      <c r="I42" s="40"/>
      <c r="J42" s="32"/>
      <c r="K42" s="40"/>
      <c r="L42" s="32"/>
      <c r="M42" s="32"/>
    </row>
    <row r="43" spans="1:13" s="2" customFormat="1" ht="24.75" customHeight="1">
      <c r="A43" s="36" t="s">
        <v>16</v>
      </c>
      <c r="B43" s="34">
        <f t="shared" si="0"/>
        <v>0</v>
      </c>
      <c r="C43" s="23"/>
      <c r="D43" s="23"/>
      <c r="E43" s="23"/>
      <c r="F43" s="26"/>
      <c r="G43" s="14"/>
      <c r="I43" s="40"/>
      <c r="J43" s="40"/>
      <c r="K43" s="40"/>
      <c r="L43" s="32"/>
      <c r="M43" s="32"/>
    </row>
    <row r="44" spans="1:13" s="2" customFormat="1" ht="24.75" customHeight="1">
      <c r="A44" s="36" t="s">
        <v>17</v>
      </c>
      <c r="B44" s="34">
        <f t="shared" si="0"/>
        <v>0</v>
      </c>
      <c r="C44" s="23"/>
      <c r="D44" s="23"/>
      <c r="E44" s="23"/>
      <c r="F44" s="26"/>
      <c r="G44" s="14"/>
      <c r="I44" s="40"/>
      <c r="J44" s="40"/>
      <c r="K44" s="40"/>
      <c r="L44" s="32"/>
      <c r="M44" s="32"/>
    </row>
    <row r="45" spans="1:13" s="2" customFormat="1" ht="24.75" customHeight="1">
      <c r="A45" s="86" t="s">
        <v>10</v>
      </c>
      <c r="B45" s="34">
        <f t="shared" si="0"/>
        <v>2805.026</v>
      </c>
      <c r="C45" s="17">
        <f>C46+C47</f>
        <v>0</v>
      </c>
      <c r="D45" s="8"/>
      <c r="E45" s="17">
        <f>E46+E47</f>
        <v>2150.985</v>
      </c>
      <c r="F45" s="18">
        <f>F46+F47</f>
        <v>654.0409999999999</v>
      </c>
      <c r="G45" s="14"/>
      <c r="I45" s="40"/>
      <c r="J45" s="40"/>
      <c r="K45" s="40"/>
      <c r="L45" s="68"/>
      <c r="M45" s="68"/>
    </row>
    <row r="46" spans="1:13" s="2" customFormat="1" ht="24.75" customHeight="1">
      <c r="A46" s="36" t="s">
        <v>18</v>
      </c>
      <c r="B46" s="34">
        <f t="shared" si="0"/>
        <v>2316.718</v>
      </c>
      <c r="C46" s="8"/>
      <c r="D46" s="8"/>
      <c r="E46" s="17">
        <v>2126.596</v>
      </c>
      <c r="F46" s="18">
        <v>190.122</v>
      </c>
      <c r="G46" s="14"/>
      <c r="I46" s="40"/>
      <c r="J46" s="40"/>
      <c r="K46" s="40"/>
      <c r="L46" s="68"/>
      <c r="M46" s="68"/>
    </row>
    <row r="47" spans="1:7" s="2" customFormat="1" ht="24.75" customHeight="1">
      <c r="A47" s="36" t="s">
        <v>15</v>
      </c>
      <c r="B47" s="34">
        <f t="shared" si="0"/>
        <v>488.308</v>
      </c>
      <c r="C47" s="8"/>
      <c r="D47" s="8"/>
      <c r="E47" s="17">
        <f>E48+E49</f>
        <v>24.389</v>
      </c>
      <c r="F47" s="18">
        <f>F48+F49</f>
        <v>463.919</v>
      </c>
      <c r="G47" s="14"/>
    </row>
    <row r="48" spans="1:7" s="2" customFormat="1" ht="24.75" customHeight="1">
      <c r="A48" s="36" t="s">
        <v>16</v>
      </c>
      <c r="B48" s="34">
        <f t="shared" si="0"/>
        <v>398.167</v>
      </c>
      <c r="C48" s="8"/>
      <c r="D48" s="8"/>
      <c r="E48" s="11">
        <v>23.48</v>
      </c>
      <c r="F48" s="12">
        <f>339.667+35.02</f>
        <v>374.68699999999995</v>
      </c>
      <c r="G48" s="14"/>
    </row>
    <row r="49" spans="1:7" s="2" customFormat="1" ht="24.75" customHeight="1">
      <c r="A49" s="36" t="s">
        <v>17</v>
      </c>
      <c r="B49" s="34">
        <f t="shared" si="0"/>
        <v>90.141</v>
      </c>
      <c r="C49" s="8"/>
      <c r="D49" s="8"/>
      <c r="E49" s="11">
        <v>0.909</v>
      </c>
      <c r="F49" s="12">
        <v>89.232</v>
      </c>
      <c r="G49" s="14"/>
    </row>
    <row r="50" spans="1:7" s="2" customFormat="1" ht="24.75" customHeight="1">
      <c r="A50" s="86" t="s">
        <v>5</v>
      </c>
      <c r="B50" s="34">
        <f t="shared" si="0"/>
        <v>2688.186</v>
      </c>
      <c r="C50" s="17">
        <f>C51+C52</f>
        <v>337.455</v>
      </c>
      <c r="D50" s="8"/>
      <c r="E50" s="17">
        <f>E51+E52</f>
        <v>1113.3690000000001</v>
      </c>
      <c r="F50" s="18">
        <f>F51+F52</f>
        <v>1237.362</v>
      </c>
      <c r="G50" s="14"/>
    </row>
    <row r="51" spans="1:7" s="2" customFormat="1" ht="24.75" customHeight="1">
      <c r="A51" s="36" t="s">
        <v>18</v>
      </c>
      <c r="B51" s="34">
        <f t="shared" si="0"/>
        <v>1683.308</v>
      </c>
      <c r="C51" s="17">
        <v>337.455</v>
      </c>
      <c r="D51" s="8"/>
      <c r="E51" s="17">
        <v>597.173</v>
      </c>
      <c r="F51" s="18">
        <v>748.68</v>
      </c>
      <c r="G51" s="14"/>
    </row>
    <row r="52" spans="1:7" s="2" customFormat="1" ht="50.25" customHeight="1">
      <c r="A52" s="36" t="s">
        <v>15</v>
      </c>
      <c r="B52" s="34">
        <f t="shared" si="0"/>
        <v>1004.878</v>
      </c>
      <c r="C52" s="8"/>
      <c r="D52" s="8"/>
      <c r="E52" s="17">
        <f>E53+E54</f>
        <v>516.196</v>
      </c>
      <c r="F52" s="18">
        <f>F53+F54</f>
        <v>488.682</v>
      </c>
      <c r="G52" s="14"/>
    </row>
    <row r="53" spans="1:7" s="2" customFormat="1" ht="26.25" customHeight="1">
      <c r="A53" s="36" t="s">
        <v>16</v>
      </c>
      <c r="B53" s="34">
        <f t="shared" si="0"/>
        <v>999.7180000000001</v>
      </c>
      <c r="C53" s="11"/>
      <c r="D53" s="11"/>
      <c r="E53" s="11">
        <f>500.266+10.77</f>
        <v>511.036</v>
      </c>
      <c r="F53" s="12">
        <f>431.591+57.091</f>
        <v>488.682</v>
      </c>
      <c r="G53" s="13"/>
    </row>
    <row r="54" spans="1:7" s="2" customFormat="1" ht="26.25" customHeight="1">
      <c r="A54" s="36" t="s">
        <v>17</v>
      </c>
      <c r="B54" s="34">
        <f t="shared" si="0"/>
        <v>5.16</v>
      </c>
      <c r="C54" s="11"/>
      <c r="D54" s="11"/>
      <c r="E54" s="11">
        <v>5.16</v>
      </c>
      <c r="F54" s="12"/>
      <c r="G54" s="13"/>
    </row>
    <row r="55" spans="1:7" s="2" customFormat="1" ht="26.25" customHeight="1">
      <c r="A55" s="86" t="s">
        <v>11</v>
      </c>
      <c r="B55" s="34">
        <f t="shared" si="0"/>
        <v>6496.373</v>
      </c>
      <c r="C55" s="17"/>
      <c r="D55" s="8"/>
      <c r="E55" s="17">
        <f>E56+E57</f>
        <v>1514.395</v>
      </c>
      <c r="F55" s="18">
        <f>F56+F57</f>
        <v>4981.978</v>
      </c>
      <c r="G55" s="13"/>
    </row>
    <row r="56" spans="1:10" s="2" customFormat="1" ht="26.25" customHeight="1">
      <c r="A56" s="36" t="s">
        <v>18</v>
      </c>
      <c r="B56" s="34">
        <f t="shared" si="0"/>
        <v>3160.264</v>
      </c>
      <c r="C56" s="8"/>
      <c r="D56" s="8"/>
      <c r="E56" s="17">
        <v>1364.796</v>
      </c>
      <c r="F56" s="18">
        <v>1795.468</v>
      </c>
      <c r="G56" s="13"/>
      <c r="I56" s="119"/>
      <c r="J56" s="119"/>
    </row>
    <row r="57" spans="1:7" s="2" customFormat="1" ht="24.75" customHeight="1">
      <c r="A57" s="36" t="s">
        <v>15</v>
      </c>
      <c r="B57" s="34">
        <f t="shared" si="0"/>
        <v>3336.1090000000004</v>
      </c>
      <c r="C57" s="8"/>
      <c r="D57" s="8"/>
      <c r="E57" s="17">
        <f>E58+E59</f>
        <v>149.599</v>
      </c>
      <c r="F57" s="18">
        <f>F58+F59</f>
        <v>3186.51</v>
      </c>
      <c r="G57" s="6"/>
    </row>
    <row r="58" spans="1:7" s="2" customFormat="1" ht="21.75" customHeight="1">
      <c r="A58" s="36" t="s">
        <v>16</v>
      </c>
      <c r="B58" s="34">
        <f t="shared" si="0"/>
        <v>841.4929999999999</v>
      </c>
      <c r="C58" s="10"/>
      <c r="D58" s="8"/>
      <c r="E58" s="11">
        <v>40.247</v>
      </c>
      <c r="F58" s="12">
        <f>801.246</f>
        <v>801.246</v>
      </c>
      <c r="G58" s="6"/>
    </row>
    <row r="59" spans="1:7" s="2" customFormat="1" ht="16.5" customHeight="1">
      <c r="A59" s="36" t="s">
        <v>17</v>
      </c>
      <c r="B59" s="34">
        <f t="shared" si="0"/>
        <v>2494.616</v>
      </c>
      <c r="C59" s="10"/>
      <c r="D59" s="8"/>
      <c r="E59" s="11">
        <v>109.352</v>
      </c>
      <c r="F59" s="12">
        <v>2385.264</v>
      </c>
      <c r="G59" s="6"/>
    </row>
    <row r="60" spans="1:7" s="2" customFormat="1" ht="18" customHeight="1">
      <c r="A60" s="87" t="s">
        <v>39</v>
      </c>
      <c r="B60" s="34">
        <f t="shared" si="0"/>
        <v>166.304</v>
      </c>
      <c r="C60" s="10"/>
      <c r="D60" s="8"/>
      <c r="E60" s="8">
        <f>E61+E62</f>
        <v>71.532</v>
      </c>
      <c r="F60" s="9">
        <f>F61+F62</f>
        <v>94.772</v>
      </c>
      <c r="G60" s="6"/>
    </row>
    <row r="61" spans="1:7" s="2" customFormat="1" ht="18" customHeight="1">
      <c r="A61" s="36" t="s">
        <v>18</v>
      </c>
      <c r="B61" s="34">
        <f t="shared" si="0"/>
        <v>166.304</v>
      </c>
      <c r="C61" s="8"/>
      <c r="D61" s="8"/>
      <c r="E61" s="17">
        <v>71.532</v>
      </c>
      <c r="F61" s="18">
        <v>94.772</v>
      </c>
      <c r="G61" s="6"/>
    </row>
    <row r="62" spans="1:7" s="2" customFormat="1" ht="24.75" customHeight="1">
      <c r="A62" s="36" t="s">
        <v>15</v>
      </c>
      <c r="B62" s="34">
        <f t="shared" si="0"/>
        <v>0</v>
      </c>
      <c r="C62" s="8"/>
      <c r="D62" s="8"/>
      <c r="E62" s="17">
        <f>E63+E64</f>
        <v>0</v>
      </c>
      <c r="F62" s="18">
        <f>F63+F64</f>
        <v>0</v>
      </c>
      <c r="G62" s="6"/>
    </row>
    <row r="63" spans="1:7" s="2" customFormat="1" ht="21.75" customHeight="1">
      <c r="A63" s="36" t="s">
        <v>16</v>
      </c>
      <c r="B63" s="34">
        <f t="shared" si="0"/>
        <v>0</v>
      </c>
      <c r="C63" s="10"/>
      <c r="D63" s="8"/>
      <c r="E63" s="10"/>
      <c r="F63" s="19"/>
      <c r="G63" s="6"/>
    </row>
    <row r="64" spans="1:7" s="2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  <c r="G64" s="6"/>
    </row>
    <row r="65" spans="1:7" s="2" customFormat="1" ht="19.5" customHeight="1">
      <c r="A65" s="87" t="s">
        <v>4</v>
      </c>
      <c r="B65" s="34">
        <f t="shared" si="0"/>
        <v>795.141</v>
      </c>
      <c r="C65" s="17">
        <f>C66+C67</f>
        <v>795.141</v>
      </c>
      <c r="D65" s="8"/>
      <c r="E65" s="8"/>
      <c r="F65" s="9"/>
      <c r="G65" s="6"/>
    </row>
    <row r="66" spans="1:7" s="2" customFormat="1" ht="19.5" customHeight="1">
      <c r="A66" s="36" t="s">
        <v>18</v>
      </c>
      <c r="B66" s="34">
        <f t="shared" si="0"/>
        <v>795.141</v>
      </c>
      <c r="C66" s="120">
        <v>795.141</v>
      </c>
      <c r="D66" s="8"/>
      <c r="E66" s="17">
        <f>E65-E67</f>
        <v>0</v>
      </c>
      <c r="F66" s="18">
        <f>F65-F67</f>
        <v>0</v>
      </c>
      <c r="G66" s="6"/>
    </row>
    <row r="67" spans="1:8" s="97" customFormat="1" ht="24.75" customHeight="1">
      <c r="A67" s="36" t="s">
        <v>15</v>
      </c>
      <c r="B67" s="34">
        <f t="shared" si="0"/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  <c r="G67" s="7"/>
      <c r="H67" s="96"/>
    </row>
    <row r="68" spans="1:7" s="97" customFormat="1" ht="18.75" customHeight="1">
      <c r="A68" s="36" t="s">
        <v>16</v>
      </c>
      <c r="B68" s="34">
        <f t="shared" si="0"/>
        <v>0</v>
      </c>
      <c r="C68" s="11"/>
      <c r="D68" s="8"/>
      <c r="E68" s="8"/>
      <c r="F68" s="9"/>
      <c r="G68" s="98"/>
    </row>
    <row r="69" spans="1:8" s="97" customFormat="1" ht="26.25" customHeight="1" thickBot="1">
      <c r="A69" s="37" t="s">
        <v>17</v>
      </c>
      <c r="B69" s="43">
        <f t="shared" si="0"/>
        <v>0</v>
      </c>
      <c r="C69" s="67"/>
      <c r="D69" s="27"/>
      <c r="E69" s="27"/>
      <c r="F69" s="28"/>
      <c r="G69" s="7"/>
      <c r="H69" s="96"/>
    </row>
    <row r="70" spans="1:8" s="103" customFormat="1" ht="30" customHeight="1">
      <c r="A70" s="140" t="s">
        <v>26</v>
      </c>
      <c r="B70" s="95">
        <f aca="true" t="shared" si="1" ref="B70:B78">C70+D70+E70+F70</f>
        <v>303.456</v>
      </c>
      <c r="C70" s="55"/>
      <c r="D70" s="55"/>
      <c r="E70" s="56">
        <v>303.456</v>
      </c>
      <c r="F70" s="57"/>
      <c r="G70" s="101"/>
      <c r="H70" s="102"/>
    </row>
    <row r="71" spans="1:8" s="97" customFormat="1" ht="26.25" customHeight="1">
      <c r="A71" s="54" t="s">
        <v>27</v>
      </c>
      <c r="B71" s="5">
        <f t="shared" si="1"/>
        <v>33.391</v>
      </c>
      <c r="C71" s="8"/>
      <c r="D71" s="8"/>
      <c r="E71" s="11">
        <v>33.391</v>
      </c>
      <c r="F71" s="9"/>
      <c r="G71" s="7"/>
      <c r="H71" s="96"/>
    </row>
    <row r="72" spans="1:7" s="6" customFormat="1" ht="36.75" customHeight="1">
      <c r="A72" s="54" t="s">
        <v>34</v>
      </c>
      <c r="B72" s="5">
        <f t="shared" si="1"/>
        <v>619.0999999999999</v>
      </c>
      <c r="C72" s="25"/>
      <c r="D72" s="25"/>
      <c r="E72" s="25">
        <v>535.656</v>
      </c>
      <c r="F72" s="26">
        <v>83.444</v>
      </c>
      <c r="G72" s="7"/>
    </row>
    <row r="73" spans="1:10" s="3" customFormat="1" ht="36.75" customHeight="1">
      <c r="A73" s="62" t="s">
        <v>35</v>
      </c>
      <c r="B73" s="5">
        <f t="shared" si="1"/>
        <v>1750.2320000000002</v>
      </c>
      <c r="C73" s="25">
        <v>1734.9</v>
      </c>
      <c r="D73" s="25"/>
      <c r="E73" s="25"/>
      <c r="F73" s="26">
        <v>15.332</v>
      </c>
      <c r="J73" s="121"/>
    </row>
    <row r="74" spans="1:10" s="3" customFormat="1" ht="45" customHeight="1">
      <c r="A74" s="54" t="s">
        <v>28</v>
      </c>
      <c r="B74" s="5">
        <f t="shared" si="1"/>
        <v>887.0020000000001</v>
      </c>
      <c r="C74" s="25">
        <v>558.299</v>
      </c>
      <c r="D74" s="25"/>
      <c r="E74" s="25">
        <v>273.556</v>
      </c>
      <c r="F74" s="26">
        <v>55.147</v>
      </c>
      <c r="H74" s="66"/>
      <c r="I74" s="66"/>
      <c r="J74" s="66"/>
    </row>
    <row r="75" spans="1:6" s="6" customFormat="1" ht="25.5" customHeight="1">
      <c r="A75" s="62" t="s">
        <v>29</v>
      </c>
      <c r="B75" s="104">
        <f t="shared" si="1"/>
        <v>635.994</v>
      </c>
      <c r="C75" s="60"/>
      <c r="D75" s="60"/>
      <c r="E75" s="60">
        <v>635.994</v>
      </c>
      <c r="F75" s="61"/>
    </row>
    <row r="76" spans="1:6" s="3" customFormat="1" ht="26.25" customHeight="1">
      <c r="A76" s="105" t="s">
        <v>30</v>
      </c>
      <c r="B76" s="104">
        <f t="shared" si="1"/>
        <v>64.646</v>
      </c>
      <c r="C76" s="60"/>
      <c r="D76" s="60"/>
      <c r="E76" s="60"/>
      <c r="F76" s="61">
        <v>64.646</v>
      </c>
    </row>
    <row r="77" spans="1:8" s="3" customFormat="1" ht="54.75" thickBot="1">
      <c r="A77" s="106" t="s">
        <v>31</v>
      </c>
      <c r="B77" s="107">
        <f t="shared" si="1"/>
        <v>0</v>
      </c>
      <c r="C77" s="108"/>
      <c r="D77" s="108"/>
      <c r="E77" s="108"/>
      <c r="F77" s="109"/>
      <c r="H77" s="71"/>
    </row>
    <row r="78" spans="1:6" ht="18.75" thickBot="1">
      <c r="A78" s="44" t="s">
        <v>12</v>
      </c>
      <c r="B78" s="88">
        <f t="shared" si="1"/>
        <v>132251.652</v>
      </c>
      <c r="C78" s="89">
        <f>C5+C10+C15+C20+C25+C30+C35+C40+C45+C50+C55+C60+C65+C70+C71+C72+C73+C74+C75+C76+C77</f>
        <v>52214.657</v>
      </c>
      <c r="D78" s="89">
        <f>D5+D10+D15+D20+D25+D30+D35+D40+D45+D50+D55+D60+D65+D70+D71+D72+D73+D74+D75+D76+D77</f>
        <v>2697.19</v>
      </c>
      <c r="E78" s="89">
        <f>E5+E10+E15+E20+E25+E30+E35+E40+E45+E50+E55+E60+E65+E70+E71+E72+E73+E74+E75+E76+E77</f>
        <v>34827.197</v>
      </c>
      <c r="F78" s="89">
        <f>F5+F10+F15+F20+F25+F30+F35+F40+F45+F50+F55+F60+F65+F70+F71+F72+F73+F74+F75+F76+F77</f>
        <v>42512.608</v>
      </c>
    </row>
    <row r="79" spans="1:6" ht="12.75">
      <c r="A79" s="3"/>
      <c r="B79" s="3"/>
      <c r="C79" s="3"/>
      <c r="D79" s="3"/>
      <c r="E79" s="3"/>
      <c r="F79" s="3"/>
    </row>
    <row r="80" spans="1:6" ht="18">
      <c r="A80" s="3"/>
      <c r="B80" s="91"/>
      <c r="C80" s="91"/>
      <c r="D80" s="3"/>
      <c r="E80" s="3"/>
      <c r="F80" s="3"/>
    </row>
  </sheetData>
  <sheetProtection/>
  <mergeCells count="2">
    <mergeCell ref="A1:F1"/>
    <mergeCell ref="A2:F2"/>
  </mergeCells>
  <printOptions horizont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60" zoomScaleNormal="60" zoomScalePageLayoutView="0" workbookViewId="0" topLeftCell="A1">
      <pane xSplit="1" ySplit="4" topLeftCell="B27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K35" sqref="K35"/>
    </sheetView>
  </sheetViews>
  <sheetFormatPr defaultColWidth="9.00390625" defaultRowHeight="12.75"/>
  <cols>
    <col min="1" max="1" width="56.00390625" style="0" customWidth="1"/>
    <col min="2" max="6" width="25.2539062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45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21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38.25" customHeight="1">
      <c r="A5" s="82" t="s">
        <v>7</v>
      </c>
      <c r="B5" s="114">
        <f aca="true" t="shared" si="0" ref="B5:B69">C5+D5+E5+F5</f>
        <v>94205.353</v>
      </c>
      <c r="C5" s="115">
        <f>C6+C7</f>
        <v>42481.242</v>
      </c>
      <c r="D5" s="115">
        <f>D6+D7</f>
        <v>1874.0349999999999</v>
      </c>
      <c r="E5" s="115">
        <f>E6+E7</f>
        <v>22359.29</v>
      </c>
      <c r="F5" s="116">
        <f>F6+F7</f>
        <v>27490.786</v>
      </c>
    </row>
    <row r="6" spans="1:6" s="2" customFormat="1" ht="27" customHeight="1">
      <c r="A6" s="36" t="s">
        <v>18</v>
      </c>
      <c r="B6" s="34">
        <f t="shared" si="0"/>
        <v>78007.796</v>
      </c>
      <c r="C6" s="8">
        <v>42175.918</v>
      </c>
      <c r="D6" s="8">
        <v>1872.915</v>
      </c>
      <c r="E6" s="8">
        <f>22359.29-E7</f>
        <v>21472.779000000002</v>
      </c>
      <c r="F6" s="9">
        <v>12486.184</v>
      </c>
    </row>
    <row r="7" spans="1:6" s="2" customFormat="1" ht="20.25" customHeight="1">
      <c r="A7" s="36" t="s">
        <v>15</v>
      </c>
      <c r="B7" s="34">
        <f t="shared" si="0"/>
        <v>16197.556999999999</v>
      </c>
      <c r="C7" s="8">
        <f>C8+C9</f>
        <v>305.324</v>
      </c>
      <c r="D7" s="17">
        <f>D8+D9</f>
        <v>1.12</v>
      </c>
      <c r="E7" s="17">
        <f>E8+E9</f>
        <v>886.511</v>
      </c>
      <c r="F7" s="18">
        <f>F8+F9</f>
        <v>15004.601999999999</v>
      </c>
    </row>
    <row r="8" spans="1:6" s="2" customFormat="1" ht="21.75" customHeight="1">
      <c r="A8" s="36" t="s">
        <v>16</v>
      </c>
      <c r="B8" s="34">
        <f t="shared" si="0"/>
        <v>4534.042</v>
      </c>
      <c r="C8" s="11">
        <v>51.329</v>
      </c>
      <c r="D8" s="11"/>
      <c r="E8" s="11">
        <v>133.35</v>
      </c>
      <c r="F8" s="12">
        <v>4349.363</v>
      </c>
    </row>
    <row r="9" spans="1:6" s="2" customFormat="1" ht="24.75" customHeight="1">
      <c r="A9" s="36" t="s">
        <v>17</v>
      </c>
      <c r="B9" s="34">
        <f t="shared" si="0"/>
        <v>11663.515</v>
      </c>
      <c r="C9" s="11">
        <v>253.995</v>
      </c>
      <c r="D9" s="11">
        <v>1.12</v>
      </c>
      <c r="E9" s="11">
        <v>753.161</v>
      </c>
      <c r="F9" s="12">
        <v>10655.239</v>
      </c>
    </row>
    <row r="10" spans="1:6" s="2" customFormat="1" ht="47.25" customHeight="1">
      <c r="A10" s="86" t="s">
        <v>13</v>
      </c>
      <c r="B10" s="34">
        <f t="shared" si="0"/>
        <v>6694.51</v>
      </c>
      <c r="C10" s="17">
        <f>C11+C12</f>
        <v>1021.25</v>
      </c>
      <c r="D10" s="17"/>
      <c r="E10" s="17">
        <f>E11+E12</f>
        <v>2461.513</v>
      </c>
      <c r="F10" s="18">
        <f>F11+F12</f>
        <v>3211.7470000000003</v>
      </c>
    </row>
    <row r="11" spans="1:6" s="2" customFormat="1" ht="21.75" customHeight="1">
      <c r="A11" s="36" t="s">
        <v>18</v>
      </c>
      <c r="B11" s="34">
        <f t="shared" si="0"/>
        <v>4323.569</v>
      </c>
      <c r="C11" s="8">
        <v>918.27</v>
      </c>
      <c r="D11" s="8"/>
      <c r="E11" s="8">
        <v>2089.09</v>
      </c>
      <c r="F11" s="9">
        <v>1316.209</v>
      </c>
    </row>
    <row r="12" spans="1:6" s="2" customFormat="1" ht="19.5" customHeight="1">
      <c r="A12" s="36" t="s">
        <v>15</v>
      </c>
      <c r="B12" s="34">
        <f t="shared" si="0"/>
        <v>2370.941</v>
      </c>
      <c r="C12" s="17">
        <f>C13+C14</f>
        <v>102.98</v>
      </c>
      <c r="D12" s="8"/>
      <c r="E12" s="17">
        <f>E13+E14</f>
        <v>372.423</v>
      </c>
      <c r="F12" s="18">
        <f>F13+F14</f>
        <v>1895.538</v>
      </c>
    </row>
    <row r="13" spans="1:6" s="2" customFormat="1" ht="17.25" customHeight="1">
      <c r="A13" s="36" t="s">
        <v>16</v>
      </c>
      <c r="B13" s="34">
        <f t="shared" si="0"/>
        <v>1370.9160000000002</v>
      </c>
      <c r="C13" s="11"/>
      <c r="D13" s="11"/>
      <c r="E13" s="11">
        <v>71.899</v>
      </c>
      <c r="F13" s="12">
        <v>1299.017</v>
      </c>
    </row>
    <row r="14" spans="1:6" s="2" customFormat="1" ht="17.25" customHeight="1">
      <c r="A14" s="36" t="s">
        <v>17</v>
      </c>
      <c r="B14" s="34">
        <f t="shared" si="0"/>
        <v>1000.025</v>
      </c>
      <c r="C14" s="11">
        <v>102.98</v>
      </c>
      <c r="D14" s="11"/>
      <c r="E14" s="11">
        <v>300.524</v>
      </c>
      <c r="F14" s="12">
        <v>596.521</v>
      </c>
    </row>
    <row r="15" spans="1:6" s="2" customFormat="1" ht="35.25" customHeight="1">
      <c r="A15" s="86" t="s">
        <v>6</v>
      </c>
      <c r="B15" s="34">
        <f t="shared" si="0"/>
        <v>1564.247</v>
      </c>
      <c r="C15" s="17">
        <f>C16+C17</f>
        <v>1564.247</v>
      </c>
      <c r="D15" s="8"/>
      <c r="E15" s="8"/>
      <c r="F15" s="9"/>
    </row>
    <row r="16" spans="1:6" s="2" customFormat="1" ht="19.5" customHeight="1">
      <c r="A16" s="36" t="s">
        <v>18</v>
      </c>
      <c r="B16" s="34">
        <f t="shared" si="0"/>
        <v>1563.972</v>
      </c>
      <c r="C16" s="8">
        <v>1563.972</v>
      </c>
      <c r="D16" s="8"/>
      <c r="E16" s="17"/>
      <c r="F16" s="18"/>
    </row>
    <row r="17" spans="1:6" s="2" customFormat="1" ht="18" customHeight="1">
      <c r="A17" s="36" t="s">
        <v>15</v>
      </c>
      <c r="B17" s="34">
        <f t="shared" si="0"/>
        <v>0.275</v>
      </c>
      <c r="C17" s="17">
        <f>C18+C19</f>
        <v>0.275</v>
      </c>
      <c r="D17" s="8"/>
      <c r="E17" s="17">
        <f>E18+E19</f>
        <v>0</v>
      </c>
      <c r="F17" s="18">
        <f>F18+F19</f>
        <v>0</v>
      </c>
    </row>
    <row r="18" spans="1:6" s="2" customFormat="1" ht="19.5" customHeight="1">
      <c r="A18" s="36" t="s">
        <v>16</v>
      </c>
      <c r="B18" s="34">
        <f t="shared" si="0"/>
        <v>0.275</v>
      </c>
      <c r="C18" s="11">
        <v>0.275</v>
      </c>
      <c r="D18" s="11"/>
      <c r="E18" s="11"/>
      <c r="F18" s="12"/>
    </row>
    <row r="19" spans="1:6" s="2" customFormat="1" ht="19.5" customHeight="1">
      <c r="A19" s="36" t="s">
        <v>17</v>
      </c>
      <c r="B19" s="34">
        <f t="shared" si="0"/>
        <v>0</v>
      </c>
      <c r="C19" s="11"/>
      <c r="D19" s="11"/>
      <c r="E19" s="11"/>
      <c r="F19" s="12"/>
    </row>
    <row r="20" spans="1:6" s="2" customFormat="1" ht="51" customHeight="1">
      <c r="A20" s="86" t="s">
        <v>36</v>
      </c>
      <c r="B20" s="34">
        <f t="shared" si="0"/>
        <v>1210.2359999999999</v>
      </c>
      <c r="C20" s="17">
        <f>C21+C22</f>
        <v>18.558</v>
      </c>
      <c r="D20" s="17">
        <f>D21+D22</f>
        <v>1087.281</v>
      </c>
      <c r="E20" s="17">
        <f>E21+E22</f>
        <v>31.184</v>
      </c>
      <c r="F20" s="18">
        <f>F21+F22</f>
        <v>73.213</v>
      </c>
    </row>
    <row r="21" spans="1:6" s="2" customFormat="1" ht="21.75" customHeight="1">
      <c r="A21" s="36" t="s">
        <v>18</v>
      </c>
      <c r="B21" s="34">
        <f t="shared" si="0"/>
        <v>1189.636</v>
      </c>
      <c r="C21" s="8">
        <v>18.558</v>
      </c>
      <c r="D21" s="8">
        <v>1087.281</v>
      </c>
      <c r="E21" s="8">
        <v>31.184</v>
      </c>
      <c r="F21" s="9">
        <v>52.613</v>
      </c>
    </row>
    <row r="22" spans="1:6" s="2" customFormat="1" ht="21" customHeight="1">
      <c r="A22" s="36" t="s">
        <v>15</v>
      </c>
      <c r="B22" s="34">
        <f t="shared" si="0"/>
        <v>20.6</v>
      </c>
      <c r="C22" s="8"/>
      <c r="D22" s="8"/>
      <c r="E22" s="17">
        <f>E23+E24</f>
        <v>0</v>
      </c>
      <c r="F22" s="18">
        <f>F23+F24</f>
        <v>20.6</v>
      </c>
    </row>
    <row r="23" spans="1:6" s="2" customFormat="1" ht="21.75" customHeight="1">
      <c r="A23" s="36" t="s">
        <v>16</v>
      </c>
      <c r="B23" s="34">
        <f t="shared" si="0"/>
        <v>20.6</v>
      </c>
      <c r="C23" s="11"/>
      <c r="D23" s="11"/>
      <c r="E23" s="11"/>
      <c r="F23" s="12">
        <v>20.6</v>
      </c>
    </row>
    <row r="24" spans="1:6" s="2" customFormat="1" ht="21" customHeight="1">
      <c r="A24" s="36" t="s">
        <v>17</v>
      </c>
      <c r="B24" s="34">
        <f t="shared" si="0"/>
        <v>0</v>
      </c>
      <c r="C24" s="11"/>
      <c r="D24" s="11"/>
      <c r="E24" s="11"/>
      <c r="F24" s="12"/>
    </row>
    <row r="25" spans="1:6" s="2" customFormat="1" ht="41.25" customHeight="1">
      <c r="A25" s="86" t="s">
        <v>8</v>
      </c>
      <c r="B25" s="34">
        <f t="shared" si="0"/>
        <v>12930.860999999999</v>
      </c>
      <c r="C25" s="17">
        <f>C26+C27</f>
        <v>6790.03</v>
      </c>
      <c r="D25" s="17"/>
      <c r="E25" s="17">
        <f>E26+E27</f>
        <v>2370.871</v>
      </c>
      <c r="F25" s="18">
        <f>F26+F27</f>
        <v>3769.9599999999996</v>
      </c>
    </row>
    <row r="26" spans="1:6" s="2" customFormat="1" ht="19.5" customHeight="1">
      <c r="A26" s="36" t="s">
        <v>18</v>
      </c>
      <c r="B26" s="34">
        <f t="shared" si="0"/>
        <v>10454.215999999999</v>
      </c>
      <c r="C26" s="8">
        <v>6790.03</v>
      </c>
      <c r="D26" s="8"/>
      <c r="E26" s="17">
        <v>2335.447</v>
      </c>
      <c r="F26" s="18">
        <v>1328.739</v>
      </c>
    </row>
    <row r="27" spans="1:6" s="2" customFormat="1" ht="24.75" customHeight="1">
      <c r="A27" s="36" t="s">
        <v>15</v>
      </c>
      <c r="B27" s="34">
        <f t="shared" si="0"/>
        <v>2476.6449999999995</v>
      </c>
      <c r="C27" s="8"/>
      <c r="D27" s="8"/>
      <c r="E27" s="17">
        <f>E28+E29</f>
        <v>35.424</v>
      </c>
      <c r="F27" s="18">
        <f>F28+F29</f>
        <v>2441.2209999999995</v>
      </c>
    </row>
    <row r="28" spans="1:6" s="2" customFormat="1" ht="25.5" customHeight="1">
      <c r="A28" s="36" t="s">
        <v>16</v>
      </c>
      <c r="B28" s="34">
        <f t="shared" si="0"/>
        <v>2442.1319999999996</v>
      </c>
      <c r="C28" s="11"/>
      <c r="D28" s="11"/>
      <c r="E28" s="11">
        <v>35.424</v>
      </c>
      <c r="F28" s="12">
        <f>2268.586+138.122</f>
        <v>2406.7079999999996</v>
      </c>
    </row>
    <row r="29" spans="1:6" s="2" customFormat="1" ht="20.25" customHeight="1">
      <c r="A29" s="36" t="s">
        <v>17</v>
      </c>
      <c r="B29" s="34">
        <f t="shared" si="0"/>
        <v>34.513</v>
      </c>
      <c r="C29" s="11"/>
      <c r="D29" s="11"/>
      <c r="E29" s="11"/>
      <c r="F29" s="12">
        <v>34.513</v>
      </c>
    </row>
    <row r="30" spans="1:6" s="2" customFormat="1" ht="50.25" customHeight="1">
      <c r="A30" s="86" t="s">
        <v>9</v>
      </c>
      <c r="B30" s="34">
        <f t="shared" si="0"/>
        <v>123.736</v>
      </c>
      <c r="C30" s="17"/>
      <c r="D30" s="17"/>
      <c r="E30" s="17">
        <f>E31+E32</f>
        <v>83.598</v>
      </c>
      <c r="F30" s="18">
        <f>F31+F32</f>
        <v>40.138000000000005</v>
      </c>
    </row>
    <row r="31" spans="1:6" s="2" customFormat="1" ht="22.5" customHeight="1">
      <c r="A31" s="36" t="s">
        <v>18</v>
      </c>
      <c r="B31" s="34">
        <f t="shared" si="0"/>
        <v>99.081</v>
      </c>
      <c r="C31" s="8"/>
      <c r="D31" s="8"/>
      <c r="E31" s="17">
        <v>83.598</v>
      </c>
      <c r="F31" s="18">
        <v>15.483</v>
      </c>
    </row>
    <row r="32" spans="1:6" s="2" customFormat="1" ht="24.75" customHeight="1">
      <c r="A32" s="36" t="s">
        <v>15</v>
      </c>
      <c r="B32" s="34">
        <f t="shared" si="0"/>
        <v>24.655</v>
      </c>
      <c r="C32" s="8"/>
      <c r="D32" s="8"/>
      <c r="E32" s="17">
        <f>E33+E34</f>
        <v>0</v>
      </c>
      <c r="F32" s="18">
        <f>F33+F34</f>
        <v>24.655</v>
      </c>
    </row>
    <row r="33" spans="1:6" s="2" customFormat="1" ht="18" customHeight="1">
      <c r="A33" s="36" t="s">
        <v>16</v>
      </c>
      <c r="B33" s="34">
        <f t="shared" si="0"/>
        <v>18.402</v>
      </c>
      <c r="C33" s="11"/>
      <c r="D33" s="11"/>
      <c r="E33" s="11"/>
      <c r="F33" s="12">
        <v>18.402</v>
      </c>
    </row>
    <row r="34" spans="1:6" s="2" customFormat="1" ht="18" customHeight="1">
      <c r="A34" s="36" t="s">
        <v>17</v>
      </c>
      <c r="B34" s="34">
        <f t="shared" si="0"/>
        <v>6.253</v>
      </c>
      <c r="C34" s="11"/>
      <c r="D34" s="11"/>
      <c r="E34" s="11"/>
      <c r="F34" s="12">
        <v>6.253</v>
      </c>
    </row>
    <row r="35" spans="1:6" s="2" customFormat="1" ht="25.5" customHeight="1">
      <c r="A35" s="86" t="s">
        <v>32</v>
      </c>
      <c r="B35" s="34">
        <f t="shared" si="0"/>
        <v>208.349</v>
      </c>
      <c r="C35" s="17">
        <f>C36+C37</f>
        <v>136.143</v>
      </c>
      <c r="D35" s="23"/>
      <c r="E35" s="17">
        <f>E36+E37</f>
        <v>72.20599999999999</v>
      </c>
      <c r="F35" s="18">
        <f>F36+F37</f>
        <v>0</v>
      </c>
    </row>
    <row r="36" spans="1:6" s="2" customFormat="1" ht="23.25" customHeight="1">
      <c r="A36" s="36" t="s">
        <v>18</v>
      </c>
      <c r="B36" s="34">
        <f t="shared" si="0"/>
        <v>189.522</v>
      </c>
      <c r="C36" s="8">
        <v>136.143</v>
      </c>
      <c r="D36" s="8"/>
      <c r="E36" s="8">
        <v>53.379</v>
      </c>
      <c r="F36" s="9"/>
    </row>
    <row r="37" spans="1:6" s="2" customFormat="1" ht="23.25" customHeight="1">
      <c r="A37" s="36" t="s">
        <v>15</v>
      </c>
      <c r="B37" s="34">
        <f t="shared" si="0"/>
        <v>18.826999999999998</v>
      </c>
      <c r="C37" s="23">
        <f>C38+C39</f>
        <v>0</v>
      </c>
      <c r="D37" s="8"/>
      <c r="E37" s="23">
        <f>E38+E39</f>
        <v>18.826999999999998</v>
      </c>
      <c r="F37" s="18">
        <f>F38+F39</f>
        <v>0</v>
      </c>
    </row>
    <row r="38" spans="1:6" s="2" customFormat="1" ht="23.25" customHeight="1">
      <c r="A38" s="36" t="s">
        <v>16</v>
      </c>
      <c r="B38" s="34">
        <f t="shared" si="0"/>
        <v>6.624</v>
      </c>
      <c r="C38" s="208"/>
      <c r="D38" s="208"/>
      <c r="E38" s="208">
        <v>6.624</v>
      </c>
      <c r="F38" s="26"/>
    </row>
    <row r="39" spans="1:6" s="2" customFormat="1" ht="23.25" customHeight="1">
      <c r="A39" s="36" t="s">
        <v>17</v>
      </c>
      <c r="B39" s="34">
        <f t="shared" si="0"/>
        <v>12.203</v>
      </c>
      <c r="C39" s="208"/>
      <c r="D39" s="208"/>
      <c r="E39" s="208">
        <v>12.203</v>
      </c>
      <c r="F39" s="26"/>
    </row>
    <row r="40" spans="1:6" s="2" customFormat="1" ht="42" customHeight="1">
      <c r="A40" s="86" t="s">
        <v>33</v>
      </c>
      <c r="B40" s="34">
        <f t="shared" si="0"/>
        <v>47.391</v>
      </c>
      <c r="C40" s="17">
        <f>C41+C42</f>
        <v>1.603</v>
      </c>
      <c r="D40" s="23"/>
      <c r="E40" s="17">
        <f>E41+E42</f>
        <v>45.788</v>
      </c>
      <c r="F40" s="18"/>
    </row>
    <row r="41" spans="1:6" s="2" customFormat="1" ht="19.5" customHeight="1">
      <c r="A41" s="36" t="s">
        <v>18</v>
      </c>
      <c r="B41" s="34">
        <f t="shared" si="0"/>
        <v>47.391</v>
      </c>
      <c r="C41" s="8">
        <v>1.603</v>
      </c>
      <c r="D41" s="8"/>
      <c r="E41" s="8">
        <v>45.788</v>
      </c>
      <c r="F41" s="9"/>
    </row>
    <row r="42" spans="1:6" s="2" customFormat="1" ht="19.5" customHeight="1">
      <c r="A42" s="36" t="s">
        <v>15</v>
      </c>
      <c r="B42" s="34">
        <f t="shared" si="0"/>
        <v>0</v>
      </c>
      <c r="C42" s="17">
        <f>C43+C44</f>
        <v>0</v>
      </c>
      <c r="D42" s="8"/>
      <c r="E42" s="17">
        <f>E43+E44</f>
        <v>0</v>
      </c>
      <c r="F42" s="18">
        <f>F43+F44</f>
        <v>0</v>
      </c>
    </row>
    <row r="43" spans="1:6" s="2" customFormat="1" ht="19.5" customHeight="1">
      <c r="A43" s="36" t="s">
        <v>16</v>
      </c>
      <c r="B43" s="34">
        <f t="shared" si="0"/>
        <v>0</v>
      </c>
      <c r="C43" s="23"/>
      <c r="D43" s="23"/>
      <c r="E43" s="23"/>
      <c r="F43" s="26"/>
    </row>
    <row r="44" spans="1:6" s="2" customFormat="1" ht="19.5" customHeight="1">
      <c r="A44" s="36" t="s">
        <v>17</v>
      </c>
      <c r="B44" s="34">
        <f t="shared" si="0"/>
        <v>0</v>
      </c>
      <c r="C44" s="23"/>
      <c r="D44" s="23"/>
      <c r="E44" s="23"/>
      <c r="F44" s="26"/>
    </row>
    <row r="45" spans="1:6" s="2" customFormat="1" ht="24.75" customHeight="1">
      <c r="A45" s="86" t="s">
        <v>10</v>
      </c>
      <c r="B45" s="34">
        <f t="shared" si="0"/>
        <v>2276.851</v>
      </c>
      <c r="C45" s="17"/>
      <c r="D45" s="8"/>
      <c r="E45" s="17">
        <f>E46+E47</f>
        <v>1684.363</v>
      </c>
      <c r="F45" s="18">
        <f>F46+F47</f>
        <v>592.4879999999999</v>
      </c>
    </row>
    <row r="46" spans="1:6" s="2" customFormat="1" ht="24.75" customHeight="1">
      <c r="A46" s="36" t="s">
        <v>18</v>
      </c>
      <c r="B46" s="34">
        <f t="shared" si="0"/>
        <v>1834.324</v>
      </c>
      <c r="C46" s="8"/>
      <c r="D46" s="8"/>
      <c r="E46" s="17">
        <v>1658.289</v>
      </c>
      <c r="F46" s="18">
        <v>176.035</v>
      </c>
    </row>
    <row r="47" spans="1:6" s="2" customFormat="1" ht="24.75" customHeight="1">
      <c r="A47" s="36" t="s">
        <v>15</v>
      </c>
      <c r="B47" s="34">
        <f t="shared" si="0"/>
        <v>442.527</v>
      </c>
      <c r="C47" s="8"/>
      <c r="D47" s="8"/>
      <c r="E47" s="17">
        <f>E48+E49</f>
        <v>26.074</v>
      </c>
      <c r="F47" s="18">
        <f>F48+F49</f>
        <v>416.453</v>
      </c>
    </row>
    <row r="48" spans="1:6" s="2" customFormat="1" ht="24.75" customHeight="1">
      <c r="A48" s="36" t="s">
        <v>16</v>
      </c>
      <c r="B48" s="34">
        <f t="shared" si="0"/>
        <v>347.874</v>
      </c>
      <c r="C48" s="8"/>
      <c r="D48" s="8"/>
      <c r="E48" s="11">
        <v>24.946</v>
      </c>
      <c r="F48" s="12">
        <f>300.188+22.74</f>
        <v>322.928</v>
      </c>
    </row>
    <row r="49" spans="1:6" s="2" customFormat="1" ht="24.75" customHeight="1">
      <c r="A49" s="36" t="s">
        <v>17</v>
      </c>
      <c r="B49" s="34">
        <f t="shared" si="0"/>
        <v>94.653</v>
      </c>
      <c r="C49" s="8"/>
      <c r="D49" s="8"/>
      <c r="E49" s="11">
        <v>1.128</v>
      </c>
      <c r="F49" s="12">
        <v>93.525</v>
      </c>
    </row>
    <row r="50" spans="1:6" s="2" customFormat="1" ht="24.75" customHeight="1">
      <c r="A50" s="86" t="s">
        <v>5</v>
      </c>
      <c r="B50" s="34">
        <f t="shared" si="0"/>
        <v>2839.1580000000004</v>
      </c>
      <c r="C50" s="17">
        <f>C51+C52</f>
        <v>360.905</v>
      </c>
      <c r="D50" s="8"/>
      <c r="E50" s="17">
        <f>E51+E52</f>
        <v>1207.73</v>
      </c>
      <c r="F50" s="18">
        <f>F51+F52</f>
        <v>1270.5230000000001</v>
      </c>
    </row>
    <row r="51" spans="1:6" s="2" customFormat="1" ht="24.75" customHeight="1">
      <c r="A51" s="36" t="s">
        <v>18</v>
      </c>
      <c r="B51" s="34">
        <f t="shared" si="0"/>
        <v>1792.482</v>
      </c>
      <c r="C51" s="17">
        <v>360.905</v>
      </c>
      <c r="D51" s="8"/>
      <c r="E51" s="17">
        <v>667.414</v>
      </c>
      <c r="F51" s="18">
        <v>764.163</v>
      </c>
    </row>
    <row r="52" spans="1:6" s="2" customFormat="1" ht="24.75" customHeight="1">
      <c r="A52" s="36" t="s">
        <v>15</v>
      </c>
      <c r="B52" s="34">
        <f t="shared" si="0"/>
        <v>1046.676</v>
      </c>
      <c r="C52" s="8"/>
      <c r="D52" s="8"/>
      <c r="E52" s="17">
        <f>E53+E54</f>
        <v>540.316</v>
      </c>
      <c r="F52" s="18">
        <f>F53+F54</f>
        <v>506.36</v>
      </c>
    </row>
    <row r="53" spans="1:6" s="2" customFormat="1" ht="24.75" customHeight="1">
      <c r="A53" s="36" t="s">
        <v>16</v>
      </c>
      <c r="B53" s="34">
        <f t="shared" si="0"/>
        <v>1042.9560000000001</v>
      </c>
      <c r="C53" s="11"/>
      <c r="D53" s="11"/>
      <c r="E53" s="11">
        <f>516.676+19.92</f>
        <v>536.596</v>
      </c>
      <c r="F53" s="12">
        <f>443.183+63.177</f>
        <v>506.36</v>
      </c>
    </row>
    <row r="54" spans="1:9" s="2" customFormat="1" ht="24.75" customHeight="1">
      <c r="A54" s="36" t="s">
        <v>17</v>
      </c>
      <c r="B54" s="34">
        <f t="shared" si="0"/>
        <v>3.72</v>
      </c>
      <c r="C54" s="11"/>
      <c r="D54" s="11"/>
      <c r="E54" s="11">
        <v>3.72</v>
      </c>
      <c r="F54" s="12"/>
      <c r="G54" s="123"/>
      <c r="H54" s="121"/>
      <c r="I54" s="121"/>
    </row>
    <row r="55" spans="1:6" s="2" customFormat="1" ht="50.25" customHeight="1">
      <c r="A55" s="86" t="s">
        <v>11</v>
      </c>
      <c r="B55" s="34">
        <f t="shared" si="0"/>
        <v>6327.816</v>
      </c>
      <c r="C55" s="17"/>
      <c r="D55" s="8"/>
      <c r="E55" s="17">
        <f>E56+E57</f>
        <v>1571.206</v>
      </c>
      <c r="F55" s="18">
        <f>F56+F57</f>
        <v>4756.61</v>
      </c>
    </row>
    <row r="56" spans="1:6" s="2" customFormat="1" ht="26.25" customHeight="1">
      <c r="A56" s="36" t="s">
        <v>18</v>
      </c>
      <c r="B56" s="34">
        <f t="shared" si="0"/>
        <v>3062.9539999999997</v>
      </c>
      <c r="C56" s="8"/>
      <c r="D56" s="8"/>
      <c r="E56" s="17">
        <v>1353.856</v>
      </c>
      <c r="F56" s="18">
        <v>1709.098</v>
      </c>
    </row>
    <row r="57" spans="1:6" s="2" customFormat="1" ht="26.25" customHeight="1">
      <c r="A57" s="36" t="s">
        <v>15</v>
      </c>
      <c r="B57" s="34">
        <f t="shared" si="0"/>
        <v>3264.8619999999996</v>
      </c>
      <c r="C57" s="8"/>
      <c r="D57" s="8"/>
      <c r="E57" s="17">
        <f>E58+E59</f>
        <v>217.35</v>
      </c>
      <c r="F57" s="18">
        <f>F58+F59</f>
        <v>3047.5119999999997</v>
      </c>
    </row>
    <row r="58" spans="1:6" s="2" customFormat="1" ht="26.25" customHeight="1">
      <c r="A58" s="36" t="s">
        <v>16</v>
      </c>
      <c r="B58" s="34">
        <f t="shared" si="0"/>
        <v>765.23</v>
      </c>
      <c r="C58" s="10"/>
      <c r="D58" s="8"/>
      <c r="E58" s="11">
        <v>39.023</v>
      </c>
      <c r="F58" s="12">
        <v>726.207</v>
      </c>
    </row>
    <row r="59" spans="1:6" s="2" customFormat="1" ht="26.25" customHeight="1">
      <c r="A59" s="36" t="s">
        <v>17</v>
      </c>
      <c r="B59" s="34">
        <f t="shared" si="0"/>
        <v>2499.6319999999996</v>
      </c>
      <c r="C59" s="10"/>
      <c r="D59" s="8"/>
      <c r="E59" s="11">
        <v>178.327</v>
      </c>
      <c r="F59" s="12">
        <v>2321.305</v>
      </c>
    </row>
    <row r="60" spans="1:6" s="2" customFormat="1" ht="24.75" customHeight="1">
      <c r="A60" s="87" t="s">
        <v>39</v>
      </c>
      <c r="B60" s="34">
        <f t="shared" si="0"/>
        <v>161.029</v>
      </c>
      <c r="C60" s="10"/>
      <c r="D60" s="8"/>
      <c r="E60" s="8">
        <f>E61+E62</f>
        <v>70.938</v>
      </c>
      <c r="F60" s="9">
        <f>F61+F62</f>
        <v>90.091</v>
      </c>
    </row>
    <row r="61" spans="1:6" s="2" customFormat="1" ht="21.75" customHeight="1">
      <c r="A61" s="36" t="s">
        <v>18</v>
      </c>
      <c r="B61" s="34">
        <f t="shared" si="0"/>
        <v>161.029</v>
      </c>
      <c r="C61" s="8"/>
      <c r="D61" s="8"/>
      <c r="E61" s="17">
        <v>70.938</v>
      </c>
      <c r="F61" s="18">
        <v>90.091</v>
      </c>
    </row>
    <row r="62" spans="1:6" s="2" customFormat="1" ht="16.5" customHeight="1">
      <c r="A62" s="36" t="s">
        <v>15</v>
      </c>
      <c r="B62" s="34">
        <f t="shared" si="0"/>
        <v>0</v>
      </c>
      <c r="C62" s="8"/>
      <c r="D62" s="8"/>
      <c r="E62" s="17">
        <f>E63+E64</f>
        <v>0</v>
      </c>
      <c r="F62" s="18">
        <f>F63+F64</f>
        <v>0</v>
      </c>
    </row>
    <row r="63" spans="1:6" s="2" customFormat="1" ht="18" customHeight="1">
      <c r="A63" s="36" t="s">
        <v>16</v>
      </c>
      <c r="B63" s="34">
        <f t="shared" si="0"/>
        <v>0</v>
      </c>
      <c r="C63" s="10"/>
      <c r="D63" s="8"/>
      <c r="E63" s="10"/>
      <c r="F63" s="19"/>
    </row>
    <row r="64" spans="1:6" s="2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</row>
    <row r="65" spans="1:6" s="2" customFormat="1" ht="24.75" customHeight="1">
      <c r="A65" s="87" t="s">
        <v>4</v>
      </c>
      <c r="B65" s="34">
        <f t="shared" si="0"/>
        <v>861.457</v>
      </c>
      <c r="C65" s="17">
        <f>C66+C67</f>
        <v>861.457</v>
      </c>
      <c r="D65" s="8"/>
      <c r="E65" s="8"/>
      <c r="F65" s="9"/>
    </row>
    <row r="66" spans="1:6" s="2" customFormat="1" ht="21.75" customHeight="1">
      <c r="A66" s="36" t="s">
        <v>18</v>
      </c>
      <c r="B66" s="34">
        <f t="shared" si="0"/>
        <v>861.457</v>
      </c>
      <c r="C66" s="17">
        <v>861.457</v>
      </c>
      <c r="D66" s="8"/>
      <c r="E66" s="17">
        <f>E65-E67</f>
        <v>0</v>
      </c>
      <c r="F66" s="18">
        <f>F65-F67</f>
        <v>0</v>
      </c>
    </row>
    <row r="67" spans="1:6" s="2" customFormat="1" ht="18" customHeight="1">
      <c r="A67" s="36" t="s">
        <v>15</v>
      </c>
      <c r="B67" s="34">
        <f t="shared" si="0"/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</row>
    <row r="68" spans="1:6" s="2" customFormat="1" ht="19.5" customHeight="1">
      <c r="A68" s="36" t="s">
        <v>16</v>
      </c>
      <c r="B68" s="34">
        <f t="shared" si="0"/>
        <v>0</v>
      </c>
      <c r="C68" s="11"/>
      <c r="D68" s="8"/>
      <c r="E68" s="8"/>
      <c r="F68" s="9"/>
    </row>
    <row r="69" spans="1:6" s="2" customFormat="1" ht="19.5" customHeight="1" thickBot="1">
      <c r="A69" s="37" t="s">
        <v>17</v>
      </c>
      <c r="B69" s="35">
        <f t="shared" si="0"/>
        <v>0</v>
      </c>
      <c r="C69" s="16"/>
      <c r="D69" s="15"/>
      <c r="E69" s="15"/>
      <c r="F69" s="20"/>
    </row>
    <row r="70" spans="1:6" s="3" customFormat="1" ht="27.75" customHeight="1">
      <c r="A70" s="140" t="s">
        <v>26</v>
      </c>
      <c r="B70" s="95">
        <f aca="true" t="shared" si="1" ref="B70:B78">C70+D70+E70+F70</f>
        <v>482.555</v>
      </c>
      <c r="C70" s="74"/>
      <c r="D70" s="74"/>
      <c r="E70" s="56">
        <v>482.555</v>
      </c>
      <c r="F70" s="75"/>
    </row>
    <row r="71" spans="1:6" s="3" customFormat="1" ht="27.75" customHeight="1">
      <c r="A71" s="54" t="s">
        <v>27</v>
      </c>
      <c r="B71" s="5">
        <f t="shared" si="1"/>
        <v>31.533</v>
      </c>
      <c r="C71" s="10"/>
      <c r="D71" s="10"/>
      <c r="E71" s="11">
        <v>31.533</v>
      </c>
      <c r="F71" s="19"/>
    </row>
    <row r="72" spans="1:6" s="3" customFormat="1" ht="27.75" customHeight="1">
      <c r="A72" s="54" t="s">
        <v>34</v>
      </c>
      <c r="B72" s="5">
        <f t="shared" si="1"/>
        <v>703.586</v>
      </c>
      <c r="C72" s="10"/>
      <c r="D72" s="10"/>
      <c r="E72" s="25">
        <v>623.83</v>
      </c>
      <c r="F72" s="26">
        <v>79.756</v>
      </c>
    </row>
    <row r="73" spans="1:6" s="3" customFormat="1" ht="27.75" customHeight="1">
      <c r="A73" s="62" t="s">
        <v>35</v>
      </c>
      <c r="B73" s="5">
        <f t="shared" si="1"/>
        <v>1842.6499999999999</v>
      </c>
      <c r="C73" s="99">
        <v>1828.3</v>
      </c>
      <c r="D73" s="99"/>
      <c r="E73" s="99"/>
      <c r="F73" s="100">
        <v>14.35</v>
      </c>
    </row>
    <row r="74" spans="1:6" s="3" customFormat="1" ht="27.75" customHeight="1">
      <c r="A74" s="54" t="s">
        <v>28</v>
      </c>
      <c r="B74" s="5">
        <f t="shared" si="1"/>
        <v>991.4810000000001</v>
      </c>
      <c r="C74" s="10">
        <v>648.445</v>
      </c>
      <c r="D74" s="10"/>
      <c r="E74" s="10">
        <v>274.118</v>
      </c>
      <c r="F74" s="19">
        <v>68.918</v>
      </c>
    </row>
    <row r="75" spans="1:6" s="3" customFormat="1" ht="27.75" customHeight="1">
      <c r="A75" s="62" t="s">
        <v>29</v>
      </c>
      <c r="B75" s="104">
        <f t="shared" si="1"/>
        <v>576.99</v>
      </c>
      <c r="C75" s="60"/>
      <c r="D75" s="60"/>
      <c r="E75" s="60">
        <v>576.99</v>
      </c>
      <c r="F75" s="61"/>
    </row>
    <row r="76" spans="1:6" s="3" customFormat="1" ht="37.5" customHeight="1">
      <c r="A76" s="105" t="s">
        <v>30</v>
      </c>
      <c r="B76" s="104">
        <f t="shared" si="1"/>
        <v>64.195</v>
      </c>
      <c r="C76" s="60"/>
      <c r="D76" s="60"/>
      <c r="E76" s="60"/>
      <c r="F76" s="61">
        <v>64.195</v>
      </c>
    </row>
    <row r="77" spans="1:6" s="3" customFormat="1" ht="36.75" thickBot="1">
      <c r="A77" s="106" t="s">
        <v>31</v>
      </c>
      <c r="B77" s="107">
        <f t="shared" si="1"/>
        <v>31.966</v>
      </c>
      <c r="C77" s="108"/>
      <c r="D77" s="108"/>
      <c r="E77" s="124">
        <v>1.827</v>
      </c>
      <c r="F77" s="125">
        <v>30.139</v>
      </c>
    </row>
    <row r="78" spans="1:6" s="6" customFormat="1" ht="25.5" customHeight="1" thickBot="1">
      <c r="A78" s="44" t="s">
        <v>12</v>
      </c>
      <c r="B78" s="88">
        <f t="shared" si="1"/>
        <v>134175.94999999998</v>
      </c>
      <c r="C78" s="89">
        <f>C5+C10+C15+C20+C25+C30+C35+C40+C45+C50+C55+C60+C65+C70+C71+C72+C73+C74+C75+C76+C77</f>
        <v>55712.18</v>
      </c>
      <c r="D78" s="89">
        <f>D5+D10+D15+D20+D25+D30+D35+D40+D45+D50+D55+D60+D65+D70+D71+D72+D73+D74+D75+D76+D77</f>
        <v>2961.316</v>
      </c>
      <c r="E78" s="89">
        <f>E5+E10+E15+E20+E25+E30+E35+E40+E45+E50+E55+E60+E65+E70+E71+E72+E73+E74+E75+E76+E77</f>
        <v>33949.53999999999</v>
      </c>
      <c r="F78" s="89">
        <f>F5+F10+F15+F20+F25+F30+F35+F40+F45+F50+F55+F60+F65+F70+F71+F72+F73+F74+F75+F76+F77</f>
        <v>41552.914</v>
      </c>
    </row>
    <row r="80" spans="2:7" ht="18">
      <c r="B80" s="42"/>
      <c r="C80" s="42"/>
      <c r="E80" s="33"/>
      <c r="G80" s="29"/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60" zoomScaleNormal="60" zoomScalePageLayoutView="0" workbookViewId="0" topLeftCell="A1">
      <pane xSplit="1" ySplit="4" topLeftCell="B33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B35" sqref="B35"/>
    </sheetView>
  </sheetViews>
  <sheetFormatPr defaultColWidth="9.00390625" defaultRowHeight="12.75"/>
  <cols>
    <col min="1" max="1" width="56.00390625" style="0" customWidth="1"/>
    <col min="2" max="6" width="25.25390625" style="0" customWidth="1"/>
    <col min="7" max="7" width="22.7539062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47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6" s="1" customFormat="1" ht="29.25" customHeight="1" thickBot="1">
      <c r="A4" s="137" t="s">
        <v>41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57" customHeight="1">
      <c r="A5" s="136" t="s">
        <v>7</v>
      </c>
      <c r="B5" s="114">
        <f aca="true" t="shared" si="0" ref="B5:B36">C5+D5+E5+F5</f>
        <v>280325.954</v>
      </c>
      <c r="C5" s="115">
        <f>C6+C7</f>
        <v>121627.959</v>
      </c>
      <c r="D5" s="115">
        <f>D6+D7</f>
        <v>5043.103</v>
      </c>
      <c r="E5" s="115">
        <f>E6+E7</f>
        <v>69805.101</v>
      </c>
      <c r="F5" s="116">
        <f>F6+F7</f>
        <v>83849.79100000001</v>
      </c>
    </row>
    <row r="6" spans="1:7" s="2" customFormat="1" ht="27" customHeight="1">
      <c r="A6" s="127" t="s">
        <v>18</v>
      </c>
      <c r="B6" s="34">
        <f t="shared" si="0"/>
        <v>231783.45</v>
      </c>
      <c r="C6" s="8">
        <f>'январь факт'!C6+'февраль факт'!C6+'март фaкт'!C6</f>
        <v>120681.266</v>
      </c>
      <c r="D6" s="8">
        <f>'январь факт'!D6+'февраль факт'!D6+'март фaкт'!D6</f>
        <v>5039.483</v>
      </c>
      <c r="E6" s="8">
        <f>'январь факт'!E6+'февраль факт'!E6+'март фaкт'!E6</f>
        <v>67363.329</v>
      </c>
      <c r="F6" s="9">
        <f>'январь факт'!F6+'февраль факт'!F6+'март фaкт'!F6</f>
        <v>38699.372</v>
      </c>
      <c r="G6" s="32"/>
    </row>
    <row r="7" spans="1:6" s="2" customFormat="1" ht="20.25" customHeight="1">
      <c r="A7" s="127" t="s">
        <v>15</v>
      </c>
      <c r="B7" s="34">
        <f t="shared" si="0"/>
        <v>48542.50400000001</v>
      </c>
      <c r="C7" s="8">
        <f>C8+C9</f>
        <v>946.693</v>
      </c>
      <c r="D7" s="17">
        <f>D8+D9</f>
        <v>3.62</v>
      </c>
      <c r="E7" s="17">
        <f>E8+E9</f>
        <v>2441.772</v>
      </c>
      <c r="F7" s="18">
        <f>F8+F9</f>
        <v>45150.41900000001</v>
      </c>
    </row>
    <row r="8" spans="1:6" s="2" customFormat="1" ht="21.75" customHeight="1">
      <c r="A8" s="127" t="s">
        <v>16</v>
      </c>
      <c r="B8" s="34">
        <f t="shared" si="0"/>
        <v>14183.313000000002</v>
      </c>
      <c r="C8" s="10">
        <f>'январь факт'!C8+'февраль факт'!C8+'март фaкт'!C8</f>
        <v>155.9</v>
      </c>
      <c r="D8" s="10">
        <f>'январь факт'!D8+'февраль факт'!D8+'март фaкт'!D8</f>
        <v>0</v>
      </c>
      <c r="E8" s="10">
        <f>'январь факт'!E8+'февраль факт'!E8+'март фaкт'!E8</f>
        <v>401.12199999999996</v>
      </c>
      <c r="F8" s="19">
        <f>'январь факт'!F8+'февраль факт'!F8+'март фaкт'!F8</f>
        <v>13626.291000000001</v>
      </c>
    </row>
    <row r="9" spans="1:6" s="2" customFormat="1" ht="24.75" customHeight="1">
      <c r="A9" s="127" t="s">
        <v>17</v>
      </c>
      <c r="B9" s="34">
        <f t="shared" si="0"/>
        <v>34359.191000000006</v>
      </c>
      <c r="C9" s="10">
        <f>'январь факт'!C9+'февраль факт'!C9+'март фaкт'!C9</f>
        <v>790.793</v>
      </c>
      <c r="D9" s="10">
        <f>'январь факт'!D9+'февраль факт'!D9+'март фaкт'!D9</f>
        <v>3.62</v>
      </c>
      <c r="E9" s="10">
        <f>'январь факт'!E9+'февраль факт'!E9+'март фaкт'!E9</f>
        <v>2040.65</v>
      </c>
      <c r="F9" s="19">
        <f>'январь факт'!F9+'февраль факт'!F9+'март фaкт'!F9</f>
        <v>31524.128000000004</v>
      </c>
    </row>
    <row r="10" spans="1:6" s="2" customFormat="1" ht="47.25" customHeight="1">
      <c r="A10" s="126" t="s">
        <v>13</v>
      </c>
      <c r="B10" s="34">
        <f t="shared" si="0"/>
        <v>20262.369</v>
      </c>
      <c r="C10" s="17">
        <f>C11+C12</f>
        <v>2960.16</v>
      </c>
      <c r="D10" s="17">
        <f>D11+D12</f>
        <v>0</v>
      </c>
      <c r="E10" s="17">
        <f>E11+E12</f>
        <v>7479.915000000001</v>
      </c>
      <c r="F10" s="18">
        <f>F11+F12</f>
        <v>9822.294</v>
      </c>
    </row>
    <row r="11" spans="1:6" s="2" customFormat="1" ht="21.75" customHeight="1">
      <c r="A11" s="127" t="s">
        <v>18</v>
      </c>
      <c r="B11" s="34">
        <f t="shared" si="0"/>
        <v>12990.181</v>
      </c>
      <c r="C11" s="8">
        <f>'январь факт'!C11+'февраль факт'!C11+'март фaкт'!C11</f>
        <v>2634.515</v>
      </c>
      <c r="D11" s="8">
        <f>'январь факт'!D11+'февраль факт'!D11+'март фaкт'!D11</f>
        <v>0</v>
      </c>
      <c r="E11" s="8">
        <f>'январь факт'!E11+'февраль факт'!E11+'март фaкт'!E11</f>
        <v>6280.122</v>
      </c>
      <c r="F11" s="9">
        <f>'январь факт'!F11+'февраль факт'!F11+'март фaкт'!F11</f>
        <v>4075.544</v>
      </c>
    </row>
    <row r="12" spans="1:6" s="2" customFormat="1" ht="19.5" customHeight="1">
      <c r="A12" s="127" t="s">
        <v>15</v>
      </c>
      <c r="B12" s="34">
        <f t="shared" si="0"/>
        <v>7272.188</v>
      </c>
      <c r="C12" s="8">
        <f>C13+C14</f>
        <v>325.64500000000004</v>
      </c>
      <c r="D12" s="17">
        <f>D13+D14</f>
        <v>0</v>
      </c>
      <c r="E12" s="17">
        <f>E13+E14</f>
        <v>1199.7930000000001</v>
      </c>
      <c r="F12" s="18">
        <f>F13+F14</f>
        <v>5746.75</v>
      </c>
    </row>
    <row r="13" spans="1:6" s="2" customFormat="1" ht="17.25" customHeight="1">
      <c r="A13" s="127" t="s">
        <v>16</v>
      </c>
      <c r="B13" s="34">
        <f t="shared" si="0"/>
        <v>4047.3350000000005</v>
      </c>
      <c r="C13" s="10">
        <f>'январь факт'!C13+'февраль факт'!C13+'март фaкт'!C13</f>
        <v>0</v>
      </c>
      <c r="D13" s="10">
        <f>'январь факт'!D13+'февраль факт'!D13+'март фaкт'!D13</f>
        <v>0</v>
      </c>
      <c r="E13" s="10">
        <f>'январь факт'!E13+'февраль факт'!E13+'март фaкт'!E13</f>
        <v>216.588</v>
      </c>
      <c r="F13" s="19">
        <f>'январь факт'!F13+'февраль факт'!F13+'март фaкт'!F13</f>
        <v>3830.7470000000003</v>
      </c>
    </row>
    <row r="14" spans="1:6" s="2" customFormat="1" ht="17.25" customHeight="1">
      <c r="A14" s="127" t="s">
        <v>17</v>
      </c>
      <c r="B14" s="34">
        <f t="shared" si="0"/>
        <v>3224.853</v>
      </c>
      <c r="C14" s="10">
        <f>'январь факт'!C14+'февраль факт'!C14+'март фaкт'!C14</f>
        <v>325.64500000000004</v>
      </c>
      <c r="D14" s="10">
        <f>'январь факт'!D14+'февраль факт'!D14+'март фaкт'!D14</f>
        <v>0</v>
      </c>
      <c r="E14" s="10">
        <f>'январь факт'!E14+'февраль факт'!E14+'март фaкт'!E14</f>
        <v>983.205</v>
      </c>
      <c r="F14" s="19">
        <f>'январь факт'!F14+'февраль факт'!F14+'март фaкт'!F14</f>
        <v>1916.003</v>
      </c>
    </row>
    <row r="15" spans="1:6" s="2" customFormat="1" ht="35.25" customHeight="1">
      <c r="A15" s="126" t="s">
        <v>6</v>
      </c>
      <c r="B15" s="34">
        <f t="shared" si="0"/>
        <v>4807.356</v>
      </c>
      <c r="C15" s="17">
        <f>C16+C17</f>
        <v>4807.356</v>
      </c>
      <c r="D15" s="17">
        <f>D16+D17</f>
        <v>0</v>
      </c>
      <c r="E15" s="17">
        <f>E16+E17</f>
        <v>0</v>
      </c>
      <c r="F15" s="18">
        <f>F16+F17</f>
        <v>0</v>
      </c>
    </row>
    <row r="16" spans="1:6" s="2" customFormat="1" ht="19.5" customHeight="1">
      <c r="A16" s="127" t="s">
        <v>18</v>
      </c>
      <c r="B16" s="34">
        <f t="shared" si="0"/>
        <v>4806.411</v>
      </c>
      <c r="C16" s="8">
        <f>'январь факт'!C16+'февраль факт'!C16+'март фaкт'!C16</f>
        <v>4806.411</v>
      </c>
      <c r="D16" s="8">
        <f>'январь факт'!D16+'февраль факт'!D16+'март фaкт'!D16</f>
        <v>0</v>
      </c>
      <c r="E16" s="8">
        <f>'январь факт'!E16+'февраль факт'!E16+'март фaкт'!E16</f>
        <v>0</v>
      </c>
      <c r="F16" s="9">
        <f>'январь факт'!F16+'февраль факт'!F16+'март фaкт'!F16</f>
        <v>0</v>
      </c>
    </row>
    <row r="17" spans="1:6" s="2" customFormat="1" ht="18" customHeight="1">
      <c r="A17" s="127" t="s">
        <v>15</v>
      </c>
      <c r="B17" s="34">
        <f t="shared" si="0"/>
        <v>0.945</v>
      </c>
      <c r="C17" s="8">
        <f>C18+C19</f>
        <v>0.945</v>
      </c>
      <c r="D17" s="17">
        <f>D18+D19</f>
        <v>0</v>
      </c>
      <c r="E17" s="17">
        <f>E18+E19</f>
        <v>0</v>
      </c>
      <c r="F17" s="18">
        <f>F18+F19</f>
        <v>0</v>
      </c>
    </row>
    <row r="18" spans="1:6" s="2" customFormat="1" ht="19.5" customHeight="1">
      <c r="A18" s="127" t="s">
        <v>16</v>
      </c>
      <c r="B18" s="34">
        <f t="shared" si="0"/>
        <v>0.945</v>
      </c>
      <c r="C18" s="10">
        <f>'январь факт'!C18+'февраль факт'!C18+'март фaкт'!C18</f>
        <v>0.945</v>
      </c>
      <c r="D18" s="10">
        <f>'январь факт'!D18+'февраль факт'!D18+'март фaкт'!D18</f>
        <v>0</v>
      </c>
      <c r="E18" s="10">
        <f>'январь факт'!E18+'февраль факт'!E18+'март фaкт'!E18</f>
        <v>0</v>
      </c>
      <c r="F18" s="19">
        <f>'январь факт'!F18+'февраль факт'!F18+'март фaкт'!F18</f>
        <v>0</v>
      </c>
    </row>
    <row r="19" spans="1:6" s="2" customFormat="1" ht="19.5" customHeight="1">
      <c r="A19" s="127" t="s">
        <v>17</v>
      </c>
      <c r="B19" s="34">
        <f t="shared" si="0"/>
        <v>0</v>
      </c>
      <c r="C19" s="10">
        <f>'январь факт'!C19+'февраль факт'!C19+'март фaкт'!C19</f>
        <v>0</v>
      </c>
      <c r="D19" s="10">
        <f>'январь факт'!D19+'февраль факт'!D19+'март фaкт'!D19</f>
        <v>0</v>
      </c>
      <c r="E19" s="10">
        <f>'январь факт'!E19+'февраль факт'!E19+'март фaкт'!E19</f>
        <v>0</v>
      </c>
      <c r="F19" s="19">
        <f>'январь факт'!F19+'февраль факт'!F19+'март фaкт'!F19</f>
        <v>0</v>
      </c>
    </row>
    <row r="20" spans="1:6" s="2" customFormat="1" ht="51" customHeight="1">
      <c r="A20" s="126" t="s">
        <v>36</v>
      </c>
      <c r="B20" s="34">
        <f t="shared" si="0"/>
        <v>3642.144</v>
      </c>
      <c r="C20" s="17">
        <f>C21+C22</f>
        <v>37.239999999999995</v>
      </c>
      <c r="D20" s="17">
        <f>D21+D22</f>
        <v>3302.487</v>
      </c>
      <c r="E20" s="17">
        <f>E21+E22</f>
        <v>81.618</v>
      </c>
      <c r="F20" s="18">
        <f>F21+F22</f>
        <v>220.799</v>
      </c>
    </row>
    <row r="21" spans="1:6" s="2" customFormat="1" ht="21.75" customHeight="1">
      <c r="A21" s="127" t="s">
        <v>18</v>
      </c>
      <c r="B21" s="34">
        <f t="shared" si="0"/>
        <v>3578.624</v>
      </c>
      <c r="C21" s="8">
        <f>'январь факт'!C21+'февраль факт'!C21+'март фaкт'!C21</f>
        <v>37.239999999999995</v>
      </c>
      <c r="D21" s="8">
        <f>'январь факт'!D21+'февраль факт'!D21+'март фaкт'!D21</f>
        <v>3302.487</v>
      </c>
      <c r="E21" s="8">
        <f>'январь факт'!E21+'февраль факт'!E21+'март фaкт'!E21</f>
        <v>81.618</v>
      </c>
      <c r="F21" s="9">
        <f>'январь факт'!F21+'февраль факт'!F21+'март фaкт'!F21</f>
        <v>157.279</v>
      </c>
    </row>
    <row r="22" spans="1:6" s="2" customFormat="1" ht="21" customHeight="1">
      <c r="A22" s="127" t="s">
        <v>15</v>
      </c>
      <c r="B22" s="34">
        <f t="shared" si="0"/>
        <v>63.52</v>
      </c>
      <c r="C22" s="8">
        <f>C23+C24</f>
        <v>0</v>
      </c>
      <c r="D22" s="17">
        <f>D23+D24</f>
        <v>0</v>
      </c>
      <c r="E22" s="17">
        <f>E23+E24</f>
        <v>0</v>
      </c>
      <c r="F22" s="18">
        <f>F23+F24</f>
        <v>63.52</v>
      </c>
    </row>
    <row r="23" spans="1:6" s="2" customFormat="1" ht="21.75" customHeight="1">
      <c r="A23" s="127" t="s">
        <v>16</v>
      </c>
      <c r="B23" s="34">
        <f t="shared" si="0"/>
        <v>63.52</v>
      </c>
      <c r="C23" s="10">
        <f>'январь факт'!C23+'февраль факт'!C23+'март фaкт'!C23</f>
        <v>0</v>
      </c>
      <c r="D23" s="10">
        <f>'январь факт'!D23+'февраль факт'!D23+'март фaкт'!D23</f>
        <v>0</v>
      </c>
      <c r="E23" s="10">
        <f>'январь факт'!E23+'февраль факт'!E23+'март фaкт'!E23</f>
        <v>0</v>
      </c>
      <c r="F23" s="19">
        <f>'январь факт'!F23+'февраль факт'!F23+'март фaкт'!F23</f>
        <v>63.52</v>
      </c>
    </row>
    <row r="24" spans="1:6" s="2" customFormat="1" ht="21" customHeight="1">
      <c r="A24" s="127" t="s">
        <v>17</v>
      </c>
      <c r="B24" s="34">
        <f t="shared" si="0"/>
        <v>0</v>
      </c>
      <c r="C24" s="10">
        <f>'январь факт'!C24+'февраль факт'!C24+'март фaкт'!C24</f>
        <v>0</v>
      </c>
      <c r="D24" s="10">
        <f>'январь факт'!D24+'февраль факт'!D24+'март фaкт'!D24</f>
        <v>0</v>
      </c>
      <c r="E24" s="10">
        <f>'январь факт'!E24+'февраль факт'!E24+'март фaкт'!E24</f>
        <v>0</v>
      </c>
      <c r="F24" s="19">
        <f>'январь факт'!F24+'февраль факт'!F24+'март фaкт'!F24</f>
        <v>0</v>
      </c>
    </row>
    <row r="25" spans="1:6" s="2" customFormat="1" ht="41.25" customHeight="1">
      <c r="A25" s="126" t="s">
        <v>8</v>
      </c>
      <c r="B25" s="34">
        <f t="shared" si="0"/>
        <v>39099.61</v>
      </c>
      <c r="C25" s="17">
        <f>C26+C27</f>
        <v>20113.02</v>
      </c>
      <c r="D25" s="17">
        <f>D26+D27</f>
        <v>0</v>
      </c>
      <c r="E25" s="17">
        <f>E26+E27</f>
        <v>7093.913</v>
      </c>
      <c r="F25" s="18">
        <f>F26+F27</f>
        <v>11892.677</v>
      </c>
    </row>
    <row r="26" spans="1:6" s="2" customFormat="1" ht="19.5" customHeight="1">
      <c r="A26" s="127" t="s">
        <v>18</v>
      </c>
      <c r="B26" s="34">
        <f t="shared" si="0"/>
        <v>31271.316</v>
      </c>
      <c r="C26" s="8">
        <f>'январь факт'!C26+'февраль факт'!C26+'март фaкт'!C26</f>
        <v>20113.02</v>
      </c>
      <c r="D26" s="8">
        <f>'январь факт'!D26+'февраль факт'!D26+'март фaкт'!D26</f>
        <v>0</v>
      </c>
      <c r="E26" s="8">
        <f>'январь факт'!E26+'февраль факт'!E26+'март фaкт'!E26</f>
        <v>6982.504</v>
      </c>
      <c r="F26" s="9">
        <f>'январь факт'!F26+'февраль факт'!F26+'март фaкт'!F26</f>
        <v>4175.7919999999995</v>
      </c>
    </row>
    <row r="27" spans="1:6" s="2" customFormat="1" ht="24.75" customHeight="1">
      <c r="A27" s="127" t="s">
        <v>15</v>
      </c>
      <c r="B27" s="34">
        <f t="shared" si="0"/>
        <v>7828.294</v>
      </c>
      <c r="C27" s="8">
        <f>C28+C29</f>
        <v>0</v>
      </c>
      <c r="D27" s="17">
        <f>D28+D29</f>
        <v>0</v>
      </c>
      <c r="E27" s="17">
        <f>E28+E29</f>
        <v>111.40899999999999</v>
      </c>
      <c r="F27" s="18">
        <f>F28+F29</f>
        <v>7716.885</v>
      </c>
    </row>
    <row r="28" spans="1:6" s="2" customFormat="1" ht="25.5" customHeight="1">
      <c r="A28" s="127" t="s">
        <v>16</v>
      </c>
      <c r="B28" s="34">
        <f t="shared" si="0"/>
        <v>7731.47</v>
      </c>
      <c r="C28" s="10">
        <f>'январь факт'!C28+'февраль факт'!C28+'март фaкт'!C28</f>
        <v>0</v>
      </c>
      <c r="D28" s="10">
        <f>'январь факт'!D28+'февраль факт'!D28+'март фaкт'!D28</f>
        <v>0</v>
      </c>
      <c r="E28" s="10">
        <f>'январь факт'!E28+'февраль факт'!E28+'март фaкт'!E28</f>
        <v>111.40899999999999</v>
      </c>
      <c r="F28" s="19">
        <f>'январь факт'!F28+'февраль факт'!F28+'март фaкт'!F28</f>
        <v>7620.061000000001</v>
      </c>
    </row>
    <row r="29" spans="1:6" s="2" customFormat="1" ht="20.25" customHeight="1">
      <c r="A29" s="127" t="s">
        <v>17</v>
      </c>
      <c r="B29" s="34">
        <f t="shared" si="0"/>
        <v>96.824</v>
      </c>
      <c r="C29" s="10">
        <f>'январь факт'!C29+'февраль факт'!C29+'март фaкт'!C29</f>
        <v>0</v>
      </c>
      <c r="D29" s="10">
        <f>'январь факт'!D29+'февраль факт'!D29+'март фaкт'!D29</f>
        <v>0</v>
      </c>
      <c r="E29" s="10">
        <f>'январь факт'!E29+'февраль факт'!E29+'март фaкт'!E29</f>
        <v>0</v>
      </c>
      <c r="F29" s="19">
        <f>'январь факт'!F29+'февраль факт'!F29+'март фaкт'!F29</f>
        <v>96.824</v>
      </c>
    </row>
    <row r="30" spans="1:6" s="2" customFormat="1" ht="50.25" customHeight="1">
      <c r="A30" s="126" t="s">
        <v>9</v>
      </c>
      <c r="B30" s="34">
        <f t="shared" si="0"/>
        <v>379.069</v>
      </c>
      <c r="C30" s="17">
        <f>C31+C32</f>
        <v>0</v>
      </c>
      <c r="D30" s="17">
        <f>D31+D32</f>
        <v>0</v>
      </c>
      <c r="E30" s="17">
        <f>E31+E32</f>
        <v>271.22200000000004</v>
      </c>
      <c r="F30" s="18">
        <f>F31+F32</f>
        <v>107.847</v>
      </c>
    </row>
    <row r="31" spans="1:6" s="2" customFormat="1" ht="22.5" customHeight="1">
      <c r="A31" s="127" t="s">
        <v>18</v>
      </c>
      <c r="B31" s="34">
        <f t="shared" si="0"/>
        <v>310.50700000000006</v>
      </c>
      <c r="C31" s="8">
        <f>'январь факт'!C31+'февраль факт'!C31+'март фaкт'!C31</f>
        <v>0</v>
      </c>
      <c r="D31" s="8">
        <f>'январь факт'!D31+'февраль факт'!D31+'март фaкт'!D31</f>
        <v>0</v>
      </c>
      <c r="E31" s="8">
        <f>'январь факт'!E31+'февраль факт'!E31+'март фaкт'!E31</f>
        <v>271.22200000000004</v>
      </c>
      <c r="F31" s="9">
        <f>'январь факт'!F31+'февраль факт'!F31+'март фaкт'!F31</f>
        <v>39.285</v>
      </c>
    </row>
    <row r="32" spans="1:6" s="2" customFormat="1" ht="24.75" customHeight="1">
      <c r="A32" s="127" t="s">
        <v>15</v>
      </c>
      <c r="B32" s="34">
        <f t="shared" si="0"/>
        <v>68.562</v>
      </c>
      <c r="C32" s="8">
        <f>C33+C34</f>
        <v>0</v>
      </c>
      <c r="D32" s="17">
        <f>D33+D34</f>
        <v>0</v>
      </c>
      <c r="E32" s="17">
        <f>E33+E34</f>
        <v>0</v>
      </c>
      <c r="F32" s="18">
        <f>F33+F34</f>
        <v>68.562</v>
      </c>
    </row>
    <row r="33" spans="1:6" s="2" customFormat="1" ht="18" customHeight="1">
      <c r="A33" s="127" t="s">
        <v>16</v>
      </c>
      <c r="B33" s="34">
        <f t="shared" si="0"/>
        <v>51.481</v>
      </c>
      <c r="C33" s="10">
        <f>'январь факт'!C33+'февраль факт'!C33+'март фaкт'!C33</f>
        <v>0</v>
      </c>
      <c r="D33" s="10">
        <f>'январь факт'!D33+'февраль факт'!D33+'март фaкт'!D33</f>
        <v>0</v>
      </c>
      <c r="E33" s="10">
        <f>'январь факт'!E33+'февраль факт'!E33+'март фaкт'!E33</f>
        <v>0</v>
      </c>
      <c r="F33" s="19">
        <f>'январь факт'!F33+'февраль факт'!F33+'март фaкт'!F33</f>
        <v>51.481</v>
      </c>
    </row>
    <row r="34" spans="1:6" s="2" customFormat="1" ht="18" customHeight="1">
      <c r="A34" s="127" t="s">
        <v>17</v>
      </c>
      <c r="B34" s="34">
        <f t="shared" si="0"/>
        <v>17.081</v>
      </c>
      <c r="C34" s="10">
        <f>'январь факт'!C34+'февраль факт'!C34+'март фaкт'!C34</f>
        <v>0</v>
      </c>
      <c r="D34" s="10">
        <f>'январь факт'!D34+'февраль факт'!D34+'март фaкт'!D34</f>
        <v>0</v>
      </c>
      <c r="E34" s="10">
        <f>'январь факт'!E34+'февраль факт'!E34+'март фaкт'!E34</f>
        <v>0</v>
      </c>
      <c r="F34" s="19">
        <f>'январь факт'!F34+'февраль факт'!F34+'март фaкт'!F34</f>
        <v>17.081</v>
      </c>
    </row>
    <row r="35" spans="1:6" s="2" customFormat="1" ht="25.5" customHeight="1">
      <c r="A35" s="126" t="s">
        <v>32</v>
      </c>
      <c r="B35" s="34">
        <f t="shared" si="0"/>
        <v>701.543</v>
      </c>
      <c r="C35" s="17">
        <f>C36+C37</f>
        <v>415.9</v>
      </c>
      <c r="D35" s="17">
        <f>D36+D37</f>
        <v>0</v>
      </c>
      <c r="E35" s="17">
        <f>E36+E37</f>
        <v>242.16400000000002</v>
      </c>
      <c r="F35" s="18">
        <f>F36+F37</f>
        <v>43.479000000000006</v>
      </c>
    </row>
    <row r="36" spans="1:6" s="2" customFormat="1" ht="23.25" customHeight="1">
      <c r="A36" s="127" t="s">
        <v>18</v>
      </c>
      <c r="B36" s="34">
        <f t="shared" si="0"/>
        <v>639.331</v>
      </c>
      <c r="C36" s="8">
        <f>'январь факт'!C36+'февраль факт'!C36+'март фaкт'!C36</f>
        <v>415.9</v>
      </c>
      <c r="D36" s="8">
        <f>'январь факт'!D36+'февраль факт'!D36+'март фaкт'!D36</f>
        <v>0</v>
      </c>
      <c r="E36" s="8">
        <f>'январь факт'!E36+'февраль факт'!E36+'март фaкт'!E36</f>
        <v>223.33700000000002</v>
      </c>
      <c r="F36" s="9">
        <f>'январь факт'!F36+'февраль факт'!F36+'март фaкт'!F36</f>
        <v>0.094</v>
      </c>
    </row>
    <row r="37" spans="1:6" s="2" customFormat="1" ht="23.25" customHeight="1">
      <c r="A37" s="127" t="s">
        <v>15</v>
      </c>
      <c r="B37" s="34">
        <f aca="true" t="shared" si="1" ref="B37:B68">C37+D37+E37+F37</f>
        <v>62.212</v>
      </c>
      <c r="C37" s="8">
        <f>C38+C39</f>
        <v>0</v>
      </c>
      <c r="D37" s="17">
        <f>D38+D39</f>
        <v>0</v>
      </c>
      <c r="E37" s="17">
        <f>E38+E39</f>
        <v>18.826999999999998</v>
      </c>
      <c r="F37" s="18">
        <f>F38+F39</f>
        <v>43.385000000000005</v>
      </c>
    </row>
    <row r="38" spans="1:6" s="2" customFormat="1" ht="23.25" customHeight="1">
      <c r="A38" s="127" t="s">
        <v>16</v>
      </c>
      <c r="B38" s="34">
        <f t="shared" si="1"/>
        <v>6.624</v>
      </c>
      <c r="C38" s="10">
        <f>'январь факт'!C38+'февраль факт'!C38+'март фaкт'!C38</f>
        <v>0</v>
      </c>
      <c r="D38" s="10">
        <f>'январь факт'!D38+'февраль факт'!D38+'март фaкт'!D38</f>
        <v>0</v>
      </c>
      <c r="E38" s="10">
        <f>'январь факт'!E38+'февраль факт'!E38+'март фaкт'!E38</f>
        <v>6.624</v>
      </c>
      <c r="F38" s="19">
        <f>'январь факт'!F38+'февраль факт'!F38+'март фaкт'!F38</f>
        <v>0</v>
      </c>
    </row>
    <row r="39" spans="1:6" s="2" customFormat="1" ht="23.25" customHeight="1">
      <c r="A39" s="127" t="s">
        <v>17</v>
      </c>
      <c r="B39" s="34">
        <f t="shared" si="1"/>
        <v>55.58800000000001</v>
      </c>
      <c r="C39" s="10">
        <f>'январь факт'!C39+'февраль факт'!C39+'март фaкт'!C39</f>
        <v>0</v>
      </c>
      <c r="D39" s="10">
        <f>'январь факт'!D39+'февраль факт'!D39+'март фaкт'!D39</f>
        <v>0</v>
      </c>
      <c r="E39" s="10">
        <f>'январь факт'!E39+'февраль факт'!E39+'март фaкт'!E39</f>
        <v>12.203</v>
      </c>
      <c r="F39" s="19">
        <f>'январь факт'!F39+'февраль факт'!F39+'март фaкт'!F39</f>
        <v>43.385000000000005</v>
      </c>
    </row>
    <row r="40" spans="1:7" s="2" customFormat="1" ht="42" customHeight="1">
      <c r="A40" s="126" t="s">
        <v>33</v>
      </c>
      <c r="B40" s="34">
        <f t="shared" si="1"/>
        <v>138.44299999999998</v>
      </c>
      <c r="C40" s="17">
        <f>C41+C42</f>
        <v>5.127</v>
      </c>
      <c r="D40" s="17">
        <f>D41+D42</f>
        <v>0</v>
      </c>
      <c r="E40" s="17">
        <f>E41+E42</f>
        <v>133.31599999999997</v>
      </c>
      <c r="F40" s="18">
        <f>F41+F42</f>
        <v>0</v>
      </c>
      <c r="G40" s="6"/>
    </row>
    <row r="41" spans="1:6" s="2" customFormat="1" ht="19.5" customHeight="1">
      <c r="A41" s="127" t="s">
        <v>18</v>
      </c>
      <c r="B41" s="34">
        <f t="shared" si="1"/>
        <v>138.44299999999998</v>
      </c>
      <c r="C41" s="8">
        <f>'январь факт'!C41+'февраль факт'!C41+'март фaкт'!C41</f>
        <v>5.127</v>
      </c>
      <c r="D41" s="8">
        <f>'январь факт'!D41+'февраль факт'!D41+'март фaкт'!D41</f>
        <v>0</v>
      </c>
      <c r="E41" s="8">
        <f>'январь факт'!E41+'февраль факт'!E41+'март фaкт'!E41</f>
        <v>133.31599999999997</v>
      </c>
      <c r="F41" s="9">
        <f>'январь факт'!F41+'февраль факт'!F41+'март фaкт'!F41</f>
        <v>0</v>
      </c>
    </row>
    <row r="42" spans="1:6" s="2" customFormat="1" ht="19.5" customHeight="1">
      <c r="A42" s="127" t="s">
        <v>15</v>
      </c>
      <c r="B42" s="34">
        <f t="shared" si="1"/>
        <v>0</v>
      </c>
      <c r="C42" s="8">
        <f>C43+C44</f>
        <v>0</v>
      </c>
      <c r="D42" s="17">
        <f>D43+D44</f>
        <v>0</v>
      </c>
      <c r="E42" s="17">
        <f>E43+E44</f>
        <v>0</v>
      </c>
      <c r="F42" s="18">
        <f>F43+F44</f>
        <v>0</v>
      </c>
    </row>
    <row r="43" spans="1:6" s="2" customFormat="1" ht="19.5" customHeight="1">
      <c r="A43" s="127" t="s">
        <v>16</v>
      </c>
      <c r="B43" s="34">
        <f t="shared" si="1"/>
        <v>0</v>
      </c>
      <c r="C43" s="10">
        <f>'январь факт'!C43+'февраль факт'!C43+'март фaкт'!C43</f>
        <v>0</v>
      </c>
      <c r="D43" s="10">
        <f>'январь факт'!D43+'февраль факт'!D43+'март фaкт'!D43</f>
        <v>0</v>
      </c>
      <c r="E43" s="10">
        <f>'январь факт'!E43+'февраль факт'!E43+'март фaкт'!E43</f>
        <v>0</v>
      </c>
      <c r="F43" s="19">
        <f>'январь факт'!F43+'февраль факт'!F43+'март фaкт'!F43</f>
        <v>0</v>
      </c>
    </row>
    <row r="44" spans="1:6" s="2" customFormat="1" ht="19.5" customHeight="1">
      <c r="A44" s="127" t="s">
        <v>17</v>
      </c>
      <c r="B44" s="34">
        <f t="shared" si="1"/>
        <v>0</v>
      </c>
      <c r="C44" s="10">
        <f>'январь факт'!C44+'февраль факт'!C44+'март фaкт'!C44</f>
        <v>0</v>
      </c>
      <c r="D44" s="10">
        <f>'январь факт'!D44+'февраль факт'!D44+'март фaкт'!D44</f>
        <v>0</v>
      </c>
      <c r="E44" s="10">
        <f>'январь факт'!E44+'февраль факт'!E44+'март фaкт'!E44</f>
        <v>0</v>
      </c>
      <c r="F44" s="19">
        <f>'январь факт'!F44+'февраль факт'!F44+'март фaкт'!F44</f>
        <v>0</v>
      </c>
    </row>
    <row r="45" spans="1:6" s="2" customFormat="1" ht="24.75" customHeight="1">
      <c r="A45" s="126" t="s">
        <v>10</v>
      </c>
      <c r="B45" s="34">
        <f t="shared" si="1"/>
        <v>8034.8189999999995</v>
      </c>
      <c r="C45" s="17">
        <f>C46+C47</f>
        <v>0</v>
      </c>
      <c r="D45" s="17">
        <f>D46+D47</f>
        <v>0</v>
      </c>
      <c r="E45" s="17">
        <f>E46+E47</f>
        <v>6111.804</v>
      </c>
      <c r="F45" s="18">
        <f>F46+F47</f>
        <v>1923.0149999999999</v>
      </c>
    </row>
    <row r="46" spans="1:6" s="2" customFormat="1" ht="24.75" customHeight="1">
      <c r="A46" s="127" t="s">
        <v>18</v>
      </c>
      <c r="B46" s="34">
        <f t="shared" si="1"/>
        <v>6600.413</v>
      </c>
      <c r="C46" s="8">
        <f>'январь факт'!C46+'февраль факт'!C46+'март фaкт'!C46</f>
        <v>0</v>
      </c>
      <c r="D46" s="8">
        <f>'январь факт'!D46+'февраль факт'!D46+'март фaкт'!D46</f>
        <v>0</v>
      </c>
      <c r="E46" s="8">
        <f>'январь факт'!E46+'февраль факт'!E46+'март фaкт'!E46</f>
        <v>6027.937</v>
      </c>
      <c r="F46" s="9">
        <f>'январь факт'!F46+'февраль факт'!F46+'март фaкт'!F46</f>
        <v>572.476</v>
      </c>
    </row>
    <row r="47" spans="1:6" s="2" customFormat="1" ht="24.75" customHeight="1">
      <c r="A47" s="127" t="s">
        <v>15</v>
      </c>
      <c r="B47" s="34">
        <f t="shared" si="1"/>
        <v>1434.406</v>
      </c>
      <c r="C47" s="8">
        <f>C48+C49</f>
        <v>0</v>
      </c>
      <c r="D47" s="17">
        <f>D48+D49</f>
        <v>0</v>
      </c>
      <c r="E47" s="17">
        <f>E48+E49</f>
        <v>83.86699999999999</v>
      </c>
      <c r="F47" s="18">
        <f>F48+F49</f>
        <v>1350.539</v>
      </c>
    </row>
    <row r="48" spans="1:6" s="2" customFormat="1" ht="24.75" customHeight="1">
      <c r="A48" s="127" t="s">
        <v>16</v>
      </c>
      <c r="B48" s="34">
        <f t="shared" si="1"/>
        <v>1155.9959999999999</v>
      </c>
      <c r="C48" s="10">
        <f>'январь факт'!C48+'февраль факт'!C48+'март фaкт'!C48</f>
        <v>0</v>
      </c>
      <c r="D48" s="10">
        <f>'январь факт'!D48+'февраль факт'!D48+'март фaкт'!D48</f>
        <v>0</v>
      </c>
      <c r="E48" s="10">
        <f>'январь факт'!E48+'февраль факт'!E48+'март фaкт'!E48</f>
        <v>80.666</v>
      </c>
      <c r="F48" s="19">
        <f>'январь факт'!F48+'февраль факт'!F48+'март фaкт'!F48</f>
        <v>1075.33</v>
      </c>
    </row>
    <row r="49" spans="1:6" s="2" customFormat="1" ht="24.75" customHeight="1">
      <c r="A49" s="127" t="s">
        <v>17</v>
      </c>
      <c r="B49" s="34">
        <f t="shared" si="1"/>
        <v>278.41</v>
      </c>
      <c r="C49" s="10">
        <f>'январь факт'!C49+'февраль факт'!C49+'март фaкт'!C49</f>
        <v>0</v>
      </c>
      <c r="D49" s="10">
        <f>'январь факт'!D49+'февраль факт'!D49+'март фaкт'!D49</f>
        <v>0</v>
      </c>
      <c r="E49" s="10">
        <f>'январь факт'!E49+'февраль факт'!E49+'март фaкт'!E49</f>
        <v>3.2009999999999996</v>
      </c>
      <c r="F49" s="19">
        <f>'январь факт'!F49+'февраль факт'!F49+'март фaкт'!F49</f>
        <v>275.209</v>
      </c>
    </row>
    <row r="50" spans="1:6" s="2" customFormat="1" ht="24.75" customHeight="1">
      <c r="A50" s="126" t="s">
        <v>5</v>
      </c>
      <c r="B50" s="34">
        <f t="shared" si="1"/>
        <v>8354.426</v>
      </c>
      <c r="C50" s="17">
        <f>C51+C52</f>
        <v>1081.636</v>
      </c>
      <c r="D50" s="17">
        <f>D51+D52</f>
        <v>0</v>
      </c>
      <c r="E50" s="17">
        <f>E51+E52</f>
        <v>3541.663</v>
      </c>
      <c r="F50" s="18">
        <f>F51+F52</f>
        <v>3731.127</v>
      </c>
    </row>
    <row r="51" spans="1:6" s="2" customFormat="1" ht="24.75" customHeight="1">
      <c r="A51" s="127" t="s">
        <v>18</v>
      </c>
      <c r="B51" s="34">
        <f t="shared" si="1"/>
        <v>5179.6939999999995</v>
      </c>
      <c r="C51" s="8">
        <f>'январь факт'!C51+'февраль факт'!C51+'март фaкт'!C51</f>
        <v>1081.636</v>
      </c>
      <c r="D51" s="8">
        <f>'январь факт'!D51+'февраль факт'!D51+'март фaкт'!D51</f>
        <v>0</v>
      </c>
      <c r="E51" s="8">
        <f>'январь факт'!E51+'февраль факт'!E51+'март фaкт'!E51</f>
        <v>1893.942</v>
      </c>
      <c r="F51" s="9">
        <f>'январь факт'!F51+'февраль факт'!F51+'март фaкт'!F51</f>
        <v>2204.116</v>
      </c>
    </row>
    <row r="52" spans="1:6" s="2" customFormat="1" ht="24.75" customHeight="1">
      <c r="A52" s="127" t="s">
        <v>15</v>
      </c>
      <c r="B52" s="34">
        <f t="shared" si="1"/>
        <v>3174.732</v>
      </c>
      <c r="C52" s="8">
        <f>C53+C54</f>
        <v>0</v>
      </c>
      <c r="D52" s="17">
        <f>D53+D54</f>
        <v>0</v>
      </c>
      <c r="E52" s="17">
        <f>E53+E54</f>
        <v>1647.721</v>
      </c>
      <c r="F52" s="18">
        <f>F53+F54</f>
        <v>1527.011</v>
      </c>
    </row>
    <row r="53" spans="1:6" s="2" customFormat="1" ht="24.75" customHeight="1">
      <c r="A53" s="127" t="s">
        <v>16</v>
      </c>
      <c r="B53" s="34">
        <f t="shared" si="1"/>
        <v>3161.4120000000003</v>
      </c>
      <c r="C53" s="10">
        <f>'январь факт'!C53+'февраль факт'!C53+'март фaкт'!C53</f>
        <v>0</v>
      </c>
      <c r="D53" s="10">
        <f>'январь факт'!D53+'февраль факт'!D53+'март фaкт'!D53</f>
        <v>0</v>
      </c>
      <c r="E53" s="10">
        <f>'январь факт'!E53+'февраль факт'!E53+'март фaкт'!E53</f>
        <v>1634.401</v>
      </c>
      <c r="F53" s="19">
        <f>'январь факт'!F53+'февраль факт'!F53+'март фaкт'!F53</f>
        <v>1527.011</v>
      </c>
    </row>
    <row r="54" spans="1:10" s="2" customFormat="1" ht="24.75" customHeight="1">
      <c r="A54" s="127" t="s">
        <v>17</v>
      </c>
      <c r="B54" s="34">
        <f t="shared" si="1"/>
        <v>13.320000000000002</v>
      </c>
      <c r="C54" s="10">
        <f>'январь факт'!C54+'февраль факт'!C54+'март фaкт'!C54</f>
        <v>0</v>
      </c>
      <c r="D54" s="10">
        <f>'январь факт'!D54+'февраль факт'!D54+'март фaкт'!D54</f>
        <v>0</v>
      </c>
      <c r="E54" s="10">
        <f>'январь факт'!E54+'февраль факт'!E54+'март фaкт'!E54</f>
        <v>13.320000000000002</v>
      </c>
      <c r="F54" s="19">
        <f>'январь факт'!F54+'февраль факт'!F54+'март фaкт'!F54</f>
        <v>0</v>
      </c>
      <c r="H54" s="123"/>
      <c r="I54" s="121"/>
      <c r="J54" s="121"/>
    </row>
    <row r="55" spans="1:6" s="2" customFormat="1" ht="50.25" customHeight="1">
      <c r="A55" s="126" t="s">
        <v>11</v>
      </c>
      <c r="B55" s="34">
        <f t="shared" si="1"/>
        <v>20023.353000000003</v>
      </c>
      <c r="C55" s="17">
        <f>C56+C57</f>
        <v>0</v>
      </c>
      <c r="D55" s="17">
        <f>D56+D57</f>
        <v>0</v>
      </c>
      <c r="E55" s="17">
        <f>E56+E57</f>
        <v>4879.83</v>
      </c>
      <c r="F55" s="18">
        <f>F56+F57</f>
        <v>15143.523000000001</v>
      </c>
    </row>
    <row r="56" spans="1:6" s="2" customFormat="1" ht="26.25" customHeight="1">
      <c r="A56" s="127" t="s">
        <v>18</v>
      </c>
      <c r="B56" s="34">
        <f t="shared" si="1"/>
        <v>9820.244</v>
      </c>
      <c r="C56" s="8">
        <f>'январь факт'!C56+'февраль факт'!C56+'март фaкт'!C56</f>
        <v>0</v>
      </c>
      <c r="D56" s="8">
        <f>'январь факт'!D56+'февраль факт'!D56+'март фaкт'!D56</f>
        <v>0</v>
      </c>
      <c r="E56" s="8">
        <f>'январь факт'!E56+'февраль факт'!E56+'март фaкт'!E56</f>
        <v>4262.577</v>
      </c>
      <c r="F56" s="9">
        <f>'январь факт'!F56+'февраль факт'!F56+'март фaкт'!F56</f>
        <v>5557.667</v>
      </c>
    </row>
    <row r="57" spans="1:6" s="2" customFormat="1" ht="26.25" customHeight="1">
      <c r="A57" s="127" t="s">
        <v>15</v>
      </c>
      <c r="B57" s="34">
        <f t="shared" si="1"/>
        <v>10203.109000000002</v>
      </c>
      <c r="C57" s="8">
        <f>C58+C59</f>
        <v>0</v>
      </c>
      <c r="D57" s="17">
        <f>D58+D59</f>
        <v>0</v>
      </c>
      <c r="E57" s="17">
        <f>E58+E59</f>
        <v>617.2529999999999</v>
      </c>
      <c r="F57" s="18">
        <f>F58+F59</f>
        <v>9585.856000000002</v>
      </c>
    </row>
    <row r="58" spans="1:6" s="2" customFormat="1" ht="26.25" customHeight="1">
      <c r="A58" s="127" t="s">
        <v>16</v>
      </c>
      <c r="B58" s="34">
        <f t="shared" si="1"/>
        <v>2524.4990000000003</v>
      </c>
      <c r="C58" s="10">
        <f>'январь факт'!C58+'февраль факт'!C58+'март фaкт'!C58</f>
        <v>0</v>
      </c>
      <c r="D58" s="10">
        <f>'январь факт'!D58+'февраль факт'!D58+'март фaкт'!D58</f>
        <v>0</v>
      </c>
      <c r="E58" s="10">
        <f>'январь факт'!E58+'февраль факт'!E58+'март фaкт'!E58</f>
        <v>126.809</v>
      </c>
      <c r="F58" s="19">
        <f>'январь факт'!F58+'февраль факт'!F58+'март фaкт'!F58</f>
        <v>2397.69</v>
      </c>
    </row>
    <row r="59" spans="1:6" s="2" customFormat="1" ht="26.25" customHeight="1">
      <c r="A59" s="127" t="s">
        <v>17</v>
      </c>
      <c r="B59" s="34">
        <f t="shared" si="1"/>
        <v>7678.610000000001</v>
      </c>
      <c r="C59" s="10">
        <f>'январь факт'!C59+'февраль факт'!C59+'март фaкт'!C59</f>
        <v>0</v>
      </c>
      <c r="D59" s="10">
        <f>'январь факт'!D59+'февраль факт'!D59+'март фaкт'!D59</f>
        <v>0</v>
      </c>
      <c r="E59" s="10">
        <f>'январь факт'!E59+'февраль факт'!E59+'март фaкт'!E59</f>
        <v>490.44399999999996</v>
      </c>
      <c r="F59" s="19">
        <f>'январь факт'!F59+'февраль факт'!F59+'март фaкт'!F59</f>
        <v>7188.166000000001</v>
      </c>
    </row>
    <row r="60" spans="1:6" s="2" customFormat="1" ht="24.75" customHeight="1">
      <c r="A60" s="128" t="s">
        <v>39</v>
      </c>
      <c r="B60" s="34">
        <f t="shared" si="1"/>
        <v>501.045</v>
      </c>
      <c r="C60" s="17">
        <f>C61+C62</f>
        <v>0</v>
      </c>
      <c r="D60" s="17">
        <f>D61+D62</f>
        <v>0</v>
      </c>
      <c r="E60" s="17">
        <f>E61+E62</f>
        <v>219.654</v>
      </c>
      <c r="F60" s="18">
        <f>F61+F62</f>
        <v>281.391</v>
      </c>
    </row>
    <row r="61" spans="1:6" s="2" customFormat="1" ht="21.75" customHeight="1">
      <c r="A61" s="127" t="s">
        <v>18</v>
      </c>
      <c r="B61" s="34">
        <f t="shared" si="1"/>
        <v>501.045</v>
      </c>
      <c r="C61" s="8">
        <f>'январь факт'!C61+'февраль факт'!C61+'март фaкт'!C61</f>
        <v>0</v>
      </c>
      <c r="D61" s="8">
        <f>'январь факт'!D61+'февраль факт'!D61+'март фaкт'!D61</f>
        <v>0</v>
      </c>
      <c r="E61" s="8">
        <f>'январь факт'!E61+'февраль факт'!E61+'март фaкт'!E61</f>
        <v>219.654</v>
      </c>
      <c r="F61" s="9">
        <f>'январь факт'!F61+'февраль факт'!F61+'март фaкт'!F61</f>
        <v>281.391</v>
      </c>
    </row>
    <row r="62" spans="1:6" s="2" customFormat="1" ht="16.5" customHeight="1">
      <c r="A62" s="127" t="s">
        <v>15</v>
      </c>
      <c r="B62" s="34">
        <f t="shared" si="1"/>
        <v>0</v>
      </c>
      <c r="C62" s="8">
        <f>C63+C64</f>
        <v>0</v>
      </c>
      <c r="D62" s="17">
        <f>D63+D64</f>
        <v>0</v>
      </c>
      <c r="E62" s="17">
        <f>E63+E64</f>
        <v>0</v>
      </c>
      <c r="F62" s="18">
        <f>F63+F64</f>
        <v>0</v>
      </c>
    </row>
    <row r="63" spans="1:6" s="2" customFormat="1" ht="18" customHeight="1">
      <c r="A63" s="127" t="s">
        <v>16</v>
      </c>
      <c r="B63" s="34">
        <f t="shared" si="1"/>
        <v>0</v>
      </c>
      <c r="C63" s="10">
        <f>'январь факт'!C63+'февраль факт'!C63+'март фaкт'!C63</f>
        <v>0</v>
      </c>
      <c r="D63" s="10">
        <f>'январь факт'!D63+'февраль факт'!D63+'март фaкт'!D63</f>
        <v>0</v>
      </c>
      <c r="E63" s="10">
        <f>'январь факт'!E63+'февраль факт'!E63+'март фaкт'!E63</f>
        <v>0</v>
      </c>
      <c r="F63" s="19">
        <f>'январь факт'!F63+'февраль факт'!F63+'март фaкт'!F63</f>
        <v>0</v>
      </c>
    </row>
    <row r="64" spans="1:6" s="2" customFormat="1" ht="18" customHeight="1">
      <c r="A64" s="127" t="s">
        <v>17</v>
      </c>
      <c r="B64" s="34">
        <f t="shared" si="1"/>
        <v>0</v>
      </c>
      <c r="C64" s="10">
        <f>'январь факт'!C64+'февраль факт'!C64+'март фaкт'!C64</f>
        <v>0</v>
      </c>
      <c r="D64" s="10">
        <f>'январь факт'!D64+'февраль факт'!D64+'март фaкт'!D64</f>
        <v>0</v>
      </c>
      <c r="E64" s="10">
        <f>'январь факт'!E64+'февраль факт'!E64+'март фaкт'!E64</f>
        <v>0</v>
      </c>
      <c r="F64" s="19">
        <f>'январь факт'!F64+'февраль факт'!F64+'март фaкт'!F64</f>
        <v>0</v>
      </c>
    </row>
    <row r="65" spans="1:6" s="2" customFormat="1" ht="24.75" customHeight="1">
      <c r="A65" s="128" t="s">
        <v>4</v>
      </c>
      <c r="B65" s="34">
        <f t="shared" si="1"/>
        <v>2452.138</v>
      </c>
      <c r="C65" s="17">
        <f>C66+C67</f>
        <v>2452.138</v>
      </c>
      <c r="D65" s="17">
        <f>D66+D67</f>
        <v>0</v>
      </c>
      <c r="E65" s="17">
        <f>E66+E67</f>
        <v>0</v>
      </c>
      <c r="F65" s="18">
        <f>F66+F67</f>
        <v>0</v>
      </c>
    </row>
    <row r="66" spans="1:6" s="2" customFormat="1" ht="21.75" customHeight="1">
      <c r="A66" s="127" t="s">
        <v>18</v>
      </c>
      <c r="B66" s="34">
        <f t="shared" si="1"/>
        <v>2452.138</v>
      </c>
      <c r="C66" s="8">
        <f>'январь факт'!C66+'февраль факт'!C66+'март фaкт'!C66</f>
        <v>2452.138</v>
      </c>
      <c r="D66" s="8">
        <f>'январь факт'!D66+'февраль факт'!D66+'март фaкт'!D66</f>
        <v>0</v>
      </c>
      <c r="E66" s="8">
        <f>'январь факт'!E66+'февраль факт'!E66+'март фaкт'!E66</f>
        <v>0</v>
      </c>
      <c r="F66" s="9">
        <f>'январь факт'!F66+'февраль факт'!F66+'март фaкт'!F66</f>
        <v>0</v>
      </c>
    </row>
    <row r="67" spans="1:6" s="2" customFormat="1" ht="18" customHeight="1">
      <c r="A67" s="127" t="s">
        <v>15</v>
      </c>
      <c r="B67" s="34">
        <f t="shared" si="1"/>
        <v>0</v>
      </c>
      <c r="C67" s="8">
        <f>C68+C69</f>
        <v>0</v>
      </c>
      <c r="D67" s="17">
        <f>D68+D69</f>
        <v>0</v>
      </c>
      <c r="E67" s="17">
        <f>E68+E69</f>
        <v>0</v>
      </c>
      <c r="F67" s="18">
        <f>F68+F69</f>
        <v>0</v>
      </c>
    </row>
    <row r="68" spans="1:6" s="2" customFormat="1" ht="19.5" customHeight="1">
      <c r="A68" s="127" t="s">
        <v>16</v>
      </c>
      <c r="B68" s="34">
        <f t="shared" si="1"/>
        <v>0</v>
      </c>
      <c r="C68" s="10">
        <f>'январь факт'!C68+'февраль факт'!C68+'март фaкт'!C68</f>
        <v>0</v>
      </c>
      <c r="D68" s="10">
        <f>'январь факт'!D68+'февраль факт'!D68+'март фaкт'!D68</f>
        <v>0</v>
      </c>
      <c r="E68" s="10">
        <f>'январь факт'!E68+'февраль факт'!E68+'март фaкт'!E68</f>
        <v>0</v>
      </c>
      <c r="F68" s="19">
        <f>'январь факт'!F68+'февраль факт'!F68+'март фaкт'!F68</f>
        <v>0</v>
      </c>
    </row>
    <row r="69" spans="1:6" s="2" customFormat="1" ht="19.5" customHeight="1" thickBot="1">
      <c r="A69" s="131" t="s">
        <v>17</v>
      </c>
      <c r="B69" s="43">
        <f aca="true" t="shared" si="2" ref="B69:B78">C69+D69+E69+F69</f>
        <v>0</v>
      </c>
      <c r="C69" s="30">
        <f>'январь факт'!C69+'февраль факт'!C69+'март фaкт'!C69</f>
        <v>0</v>
      </c>
      <c r="D69" s="30">
        <f>'январь факт'!D69+'февраль факт'!D69+'март фaкт'!D69</f>
        <v>0</v>
      </c>
      <c r="E69" s="30">
        <f>'январь факт'!E69+'февраль факт'!E69+'март фaкт'!E69</f>
        <v>0</v>
      </c>
      <c r="F69" s="31">
        <f>'январь факт'!F69+'февраль факт'!F69+'март фaкт'!F69</f>
        <v>0</v>
      </c>
    </row>
    <row r="70" spans="1:6" s="3" customFormat="1" ht="27.75" customHeight="1">
      <c r="A70" s="132" t="s">
        <v>26</v>
      </c>
      <c r="B70" s="114">
        <f t="shared" si="2"/>
        <v>1068.111</v>
      </c>
      <c r="C70" s="74">
        <f>'январь факт'!C70+'февраль факт'!C70+'март фaкт'!C70</f>
        <v>0</v>
      </c>
      <c r="D70" s="74">
        <f>'январь факт'!D70+'февраль факт'!D70+'март фaкт'!D70</f>
        <v>0</v>
      </c>
      <c r="E70" s="74">
        <f>'январь факт'!E70+'февраль факт'!E70+'март фaкт'!E70</f>
        <v>1068.111</v>
      </c>
      <c r="F70" s="75">
        <f>'январь факт'!F70+'февраль факт'!F70+'март фaкт'!F70</f>
        <v>0</v>
      </c>
    </row>
    <row r="71" spans="1:6" s="3" customFormat="1" ht="27.75" customHeight="1">
      <c r="A71" s="87" t="s">
        <v>27</v>
      </c>
      <c r="B71" s="34">
        <f t="shared" si="2"/>
        <v>99.16199999999999</v>
      </c>
      <c r="C71" s="10">
        <f>'январь факт'!C71+'февраль факт'!C71+'март фaкт'!C71</f>
        <v>0</v>
      </c>
      <c r="D71" s="10">
        <f>'январь факт'!D71+'февраль факт'!D71+'март фaкт'!D71</f>
        <v>0</v>
      </c>
      <c r="E71" s="10">
        <f>'январь факт'!E71+'февраль факт'!E71+'март фaкт'!E71</f>
        <v>99.16199999999999</v>
      </c>
      <c r="F71" s="19">
        <f>'январь факт'!F71+'февраль факт'!F71+'март фaкт'!F71</f>
        <v>0</v>
      </c>
    </row>
    <row r="72" spans="1:6" s="3" customFormat="1" ht="27.75" customHeight="1">
      <c r="A72" s="87" t="s">
        <v>34</v>
      </c>
      <c r="B72" s="34">
        <f t="shared" si="2"/>
        <v>1965.0240000000001</v>
      </c>
      <c r="C72" s="10">
        <f>'январь факт'!C72+'февраль факт'!C72+'март фaкт'!C72</f>
        <v>0</v>
      </c>
      <c r="D72" s="10">
        <f>'январь факт'!D72+'февраль факт'!D72+'март фaкт'!D72</f>
        <v>0</v>
      </c>
      <c r="E72" s="10">
        <f>'январь факт'!E72+'февраль факт'!E72+'март фaкт'!E72</f>
        <v>1723.8490000000002</v>
      </c>
      <c r="F72" s="19">
        <f>'январь факт'!F72+'февраль факт'!F72+'март фaкт'!F72</f>
        <v>241.17499999999998</v>
      </c>
    </row>
    <row r="73" spans="1:6" s="3" customFormat="1" ht="27.75" customHeight="1">
      <c r="A73" s="133" t="s">
        <v>35</v>
      </c>
      <c r="B73" s="34">
        <f t="shared" si="2"/>
        <v>5024.8820000000005</v>
      </c>
      <c r="C73" s="10">
        <f>'январь факт'!C73+'февраль факт'!C73+'март фaкт'!C73</f>
        <v>4980.3</v>
      </c>
      <c r="D73" s="10">
        <f>'январь факт'!D73+'февраль факт'!D73+'март фaкт'!D73</f>
        <v>0</v>
      </c>
      <c r="E73" s="10">
        <f>'январь факт'!E73+'февраль факт'!E73+'март фaкт'!E73</f>
        <v>0</v>
      </c>
      <c r="F73" s="19">
        <f>'январь факт'!F73+'февраль факт'!F73+'март фaкт'!F73</f>
        <v>44.582</v>
      </c>
    </row>
    <row r="74" spans="1:6" s="3" customFormat="1" ht="27.75" customHeight="1">
      <c r="A74" s="87" t="s">
        <v>28</v>
      </c>
      <c r="B74" s="34">
        <f t="shared" si="2"/>
        <v>2755.953</v>
      </c>
      <c r="C74" s="10">
        <f>'январь факт'!C74+'февраль факт'!C74+'март фaкт'!C74</f>
        <v>1747.601</v>
      </c>
      <c r="D74" s="10">
        <f>'январь факт'!D74+'февраль факт'!D74+'март фaкт'!D74</f>
        <v>0</v>
      </c>
      <c r="E74" s="10">
        <f>'январь факт'!E74+'февраль факт'!E74+'март фaкт'!E74</f>
        <v>820.3799999999999</v>
      </c>
      <c r="F74" s="19">
        <f>'январь факт'!F74+'февраль факт'!F74+'март фaкт'!F74</f>
        <v>187.972</v>
      </c>
    </row>
    <row r="75" spans="1:6" s="3" customFormat="1" ht="27.75" customHeight="1">
      <c r="A75" s="133" t="s">
        <v>29</v>
      </c>
      <c r="B75" s="129">
        <f t="shared" si="2"/>
        <v>1834.776</v>
      </c>
      <c r="C75" s="10">
        <f>'январь факт'!C75+'февраль факт'!C75+'март фaкт'!C75</f>
        <v>0</v>
      </c>
      <c r="D75" s="10">
        <f>'январь факт'!D75+'февраль факт'!D75+'март фaкт'!D75</f>
        <v>0</v>
      </c>
      <c r="E75" s="10">
        <f>'январь факт'!E75+'февраль факт'!E75+'март фaкт'!E75</f>
        <v>1834.776</v>
      </c>
      <c r="F75" s="19">
        <f>'январь факт'!F75+'февраль факт'!F75+'март фaкт'!F75</f>
        <v>0</v>
      </c>
    </row>
    <row r="76" spans="1:6" s="3" customFormat="1" ht="37.5" customHeight="1">
      <c r="A76" s="134" t="s">
        <v>30</v>
      </c>
      <c r="B76" s="129">
        <f t="shared" si="2"/>
        <v>195.89499999999998</v>
      </c>
      <c r="C76" s="10">
        <f>'январь факт'!C76+'февраль факт'!C76+'март фaкт'!C76</f>
        <v>0</v>
      </c>
      <c r="D76" s="10">
        <f>'январь факт'!D76+'февраль факт'!D76+'март фaкт'!D76</f>
        <v>0</v>
      </c>
      <c r="E76" s="10">
        <f>'январь факт'!E76+'февраль факт'!E76+'март фaкт'!E76</f>
        <v>0</v>
      </c>
      <c r="F76" s="19">
        <f>'январь факт'!F76+'февраль факт'!F76+'март фaкт'!F76</f>
        <v>195.89499999999998</v>
      </c>
    </row>
    <row r="77" spans="1:6" s="3" customFormat="1" ht="42" customHeight="1" thickBot="1">
      <c r="A77" s="135" t="s">
        <v>31</v>
      </c>
      <c r="B77" s="130">
        <f t="shared" si="2"/>
        <v>31.966</v>
      </c>
      <c r="C77" s="30">
        <f>'январь факт'!C77+'февраль факт'!C77+'март фaкт'!C77</f>
        <v>0</v>
      </c>
      <c r="D77" s="30">
        <f>'январь факт'!D77+'февраль факт'!D77+'март фaкт'!D77</f>
        <v>0</v>
      </c>
      <c r="E77" s="30">
        <f>'январь факт'!E77+'февраль факт'!E77+'март фaкт'!E77</f>
        <v>1.827</v>
      </c>
      <c r="F77" s="31">
        <f>'январь факт'!F77+'февраль факт'!F77+'март фaкт'!F77</f>
        <v>30.139</v>
      </c>
    </row>
    <row r="78" spans="1:6" s="6" customFormat="1" ht="25.5" customHeight="1" thickBot="1">
      <c r="A78" s="110" t="s">
        <v>12</v>
      </c>
      <c r="B78" s="111">
        <f t="shared" si="2"/>
        <v>401698.03800000006</v>
      </c>
      <c r="C78" s="112">
        <f>C5+C10+C15+C20+C25+C30+C35+C40+C45+C50+C55+C60+C65+C70+C71+C72+C73+C74+C75+C76+C77</f>
        <v>160228.437</v>
      </c>
      <c r="D78" s="112">
        <f>D5+D10+D15+D20+D25+D30+D35+D40+D45+D50+D55+D60+D65+D70+D71+D72+D73+D74+D75+D76+D77</f>
        <v>8345.59</v>
      </c>
      <c r="E78" s="112">
        <f>E5+E10+E15+E20+E25+E30+E35+E40+E45+E50+E55+E60+E65+E70+E71+E72+E73+E74+E75+E76+E77</f>
        <v>105408.30500000002</v>
      </c>
      <c r="F78" s="112">
        <f>F5+F10+F15+F20+F25+F30+F35+F40+F45+F50+F55+F60+F65+F70+F71+F72+F73+F74+F75+F76+F77</f>
        <v>127715.70599999999</v>
      </c>
    </row>
    <row r="80" spans="2:8" ht="18">
      <c r="B80" s="42"/>
      <c r="C80" s="42"/>
      <c r="G80" s="38"/>
      <c r="H80" s="29"/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60" zoomScaleNormal="60" zoomScalePageLayoutView="0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2" sqref="I32"/>
    </sheetView>
  </sheetViews>
  <sheetFormatPr defaultColWidth="9.00390625" defaultRowHeight="12.75"/>
  <cols>
    <col min="1" max="1" width="62.7539062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25.12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48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22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34.5" customHeight="1">
      <c r="A5" s="82" t="s">
        <v>7</v>
      </c>
      <c r="B5" s="114">
        <f aca="true" t="shared" si="0" ref="B5:B69">C5+D5+E5+F5</f>
        <v>82849.115</v>
      </c>
      <c r="C5" s="115">
        <f>C6+C7</f>
        <v>37259.738</v>
      </c>
      <c r="D5" s="115">
        <f>D6+D7</f>
        <v>1403.2939999999999</v>
      </c>
      <c r="E5" s="115">
        <f>E6+E7</f>
        <v>19702.87</v>
      </c>
      <c r="F5" s="116">
        <f>F6+F7</f>
        <v>24483.213000000003</v>
      </c>
    </row>
    <row r="6" spans="1:6" s="2" customFormat="1" ht="27" customHeight="1">
      <c r="A6" s="36" t="s">
        <v>18</v>
      </c>
      <c r="B6" s="34">
        <f t="shared" si="0"/>
        <v>68080.537</v>
      </c>
      <c r="C6" s="8">
        <v>37015.475</v>
      </c>
      <c r="D6" s="8">
        <v>1402.214</v>
      </c>
      <c r="E6" s="8">
        <v>19014.658</v>
      </c>
      <c r="F6" s="9">
        <v>10648.19</v>
      </c>
    </row>
    <row r="7" spans="1:6" s="2" customFormat="1" ht="20.25" customHeight="1">
      <c r="A7" s="36" t="s">
        <v>15</v>
      </c>
      <c r="B7" s="34">
        <f t="shared" si="0"/>
        <v>14768.578000000001</v>
      </c>
      <c r="C7" s="8">
        <f>C8+C9</f>
        <v>244.263</v>
      </c>
      <c r="D7" s="17">
        <f>D8+D9</f>
        <v>1.08</v>
      </c>
      <c r="E7" s="17">
        <f>E8+E9</f>
        <v>688.212</v>
      </c>
      <c r="F7" s="18">
        <f>F8+F9</f>
        <v>13835.023000000001</v>
      </c>
    </row>
    <row r="8" spans="1:6" s="2" customFormat="1" ht="21.75" customHeight="1">
      <c r="A8" s="36" t="s">
        <v>16</v>
      </c>
      <c r="B8" s="34">
        <f t="shared" si="0"/>
        <v>4344.884</v>
      </c>
      <c r="C8" s="11">
        <v>47.333</v>
      </c>
      <c r="D8" s="11"/>
      <c r="E8" s="11">
        <v>104.35</v>
      </c>
      <c r="F8" s="12">
        <v>4193.201</v>
      </c>
    </row>
    <row r="9" spans="1:6" s="2" customFormat="1" ht="24.75" customHeight="1">
      <c r="A9" s="36" t="s">
        <v>17</v>
      </c>
      <c r="B9" s="34">
        <f t="shared" si="0"/>
        <v>10423.694</v>
      </c>
      <c r="C9" s="11">
        <v>196.93</v>
      </c>
      <c r="D9" s="11">
        <v>1.08</v>
      </c>
      <c r="E9" s="11">
        <v>583.862</v>
      </c>
      <c r="F9" s="12">
        <v>9641.822</v>
      </c>
    </row>
    <row r="10" spans="1:6" s="2" customFormat="1" ht="47.25" customHeight="1">
      <c r="A10" s="86" t="s">
        <v>13</v>
      </c>
      <c r="B10" s="34">
        <f t="shared" si="0"/>
        <v>5651.39</v>
      </c>
      <c r="C10" s="17">
        <f>C11+C12</f>
        <v>864.9300000000001</v>
      </c>
      <c r="D10" s="17"/>
      <c r="E10" s="17">
        <f>E11+E12</f>
        <v>2087.742</v>
      </c>
      <c r="F10" s="18">
        <f>F11+F12</f>
        <v>2698.718</v>
      </c>
    </row>
    <row r="11" spans="1:6" s="2" customFormat="1" ht="21.75" customHeight="1">
      <c r="A11" s="36" t="s">
        <v>18</v>
      </c>
      <c r="B11" s="34">
        <f t="shared" si="0"/>
        <v>3616.0960000000005</v>
      </c>
      <c r="C11" s="8">
        <v>786.5</v>
      </c>
      <c r="D11" s="8"/>
      <c r="E11" s="8">
        <v>1755.769</v>
      </c>
      <c r="F11" s="9">
        <v>1073.827</v>
      </c>
    </row>
    <row r="12" spans="1:6" s="2" customFormat="1" ht="19.5" customHeight="1">
      <c r="A12" s="36" t="s">
        <v>15</v>
      </c>
      <c r="B12" s="34">
        <f t="shared" si="0"/>
        <v>2035.294</v>
      </c>
      <c r="C12" s="17">
        <f>C13+C14</f>
        <v>78.43</v>
      </c>
      <c r="D12" s="8"/>
      <c r="E12" s="17">
        <f>E13+E14</f>
        <v>331.97299999999996</v>
      </c>
      <c r="F12" s="18">
        <f>F13+F14</f>
        <v>1624.891</v>
      </c>
    </row>
    <row r="13" spans="1:6" s="2" customFormat="1" ht="17.25" customHeight="1">
      <c r="A13" s="36" t="s">
        <v>16</v>
      </c>
      <c r="B13" s="34">
        <f t="shared" si="0"/>
        <v>1144.4009999999998</v>
      </c>
      <c r="C13" s="11"/>
      <c r="D13" s="11"/>
      <c r="E13" s="11">
        <v>63.821</v>
      </c>
      <c r="F13" s="12">
        <v>1080.58</v>
      </c>
    </row>
    <row r="14" spans="1:6" s="2" customFormat="1" ht="17.25" customHeight="1">
      <c r="A14" s="36" t="s">
        <v>17</v>
      </c>
      <c r="B14" s="34">
        <f t="shared" si="0"/>
        <v>890.893</v>
      </c>
      <c r="C14" s="11">
        <v>78.43</v>
      </c>
      <c r="D14" s="11"/>
      <c r="E14" s="11">
        <v>268.152</v>
      </c>
      <c r="F14" s="12">
        <v>544.311</v>
      </c>
    </row>
    <row r="15" spans="1:6" s="2" customFormat="1" ht="35.25" customHeight="1">
      <c r="A15" s="86" t="s">
        <v>6</v>
      </c>
      <c r="B15" s="34">
        <f t="shared" si="0"/>
        <v>1358.868</v>
      </c>
      <c r="C15" s="17">
        <f>C16+C17</f>
        <v>1358.868</v>
      </c>
      <c r="D15" s="8"/>
      <c r="E15" s="8"/>
      <c r="F15" s="9"/>
    </row>
    <row r="16" spans="1:6" s="2" customFormat="1" ht="19.5" customHeight="1">
      <c r="A16" s="36" t="s">
        <v>18</v>
      </c>
      <c r="B16" s="34">
        <f t="shared" si="0"/>
        <v>1358.437</v>
      </c>
      <c r="C16" s="8">
        <v>1358.437</v>
      </c>
      <c r="D16" s="8"/>
      <c r="E16" s="17"/>
      <c r="F16" s="18"/>
    </row>
    <row r="17" spans="1:6" s="2" customFormat="1" ht="18" customHeight="1">
      <c r="A17" s="36" t="s">
        <v>15</v>
      </c>
      <c r="B17" s="34">
        <f t="shared" si="0"/>
        <v>0.431</v>
      </c>
      <c r="C17" s="17">
        <f>C18+C19</f>
        <v>0.431</v>
      </c>
      <c r="D17" s="8"/>
      <c r="E17" s="17">
        <f>E18+E19</f>
        <v>0</v>
      </c>
      <c r="F17" s="18">
        <f>F18+F19</f>
        <v>0</v>
      </c>
    </row>
    <row r="18" spans="1:6" s="2" customFormat="1" ht="19.5" customHeight="1">
      <c r="A18" s="36" t="s">
        <v>16</v>
      </c>
      <c r="B18" s="34">
        <f t="shared" si="0"/>
        <v>0.431</v>
      </c>
      <c r="C18" s="11">
        <v>0.431</v>
      </c>
      <c r="D18" s="11"/>
      <c r="E18" s="11"/>
      <c r="F18" s="12"/>
    </row>
    <row r="19" spans="1:6" s="2" customFormat="1" ht="19.5" customHeight="1">
      <c r="A19" s="36" t="s">
        <v>17</v>
      </c>
      <c r="B19" s="34">
        <f t="shared" si="0"/>
        <v>0</v>
      </c>
      <c r="C19" s="11"/>
      <c r="D19" s="11"/>
      <c r="E19" s="11"/>
      <c r="F19" s="12"/>
    </row>
    <row r="20" spans="1:6" s="2" customFormat="1" ht="51" customHeight="1">
      <c r="A20" s="86" t="s">
        <v>36</v>
      </c>
      <c r="B20" s="34">
        <f t="shared" si="0"/>
        <v>751.2359999999999</v>
      </c>
      <c r="C20" s="17">
        <f>C21+C22</f>
        <v>8.175</v>
      </c>
      <c r="D20" s="17">
        <f>D21+D22</f>
        <v>644.552</v>
      </c>
      <c r="E20" s="17">
        <f>E21+E22</f>
        <v>26.56</v>
      </c>
      <c r="F20" s="18">
        <f>F21+F22</f>
        <v>71.949</v>
      </c>
    </row>
    <row r="21" spans="1:6" s="2" customFormat="1" ht="21.75" customHeight="1">
      <c r="A21" s="36" t="s">
        <v>18</v>
      </c>
      <c r="B21" s="34">
        <f t="shared" si="0"/>
        <v>735.3559999999999</v>
      </c>
      <c r="C21" s="8">
        <v>8.175</v>
      </c>
      <c r="D21" s="8">
        <v>644.552</v>
      </c>
      <c r="E21" s="8">
        <v>26.56</v>
      </c>
      <c r="F21" s="9">
        <v>56.069</v>
      </c>
    </row>
    <row r="22" spans="1:6" s="2" customFormat="1" ht="21" customHeight="1">
      <c r="A22" s="36" t="s">
        <v>15</v>
      </c>
      <c r="B22" s="34">
        <f t="shared" si="0"/>
        <v>15.88</v>
      </c>
      <c r="C22" s="8"/>
      <c r="D22" s="8"/>
      <c r="E22" s="17">
        <f>E23+E24</f>
        <v>0</v>
      </c>
      <c r="F22" s="18">
        <f>F23+F24</f>
        <v>15.88</v>
      </c>
    </row>
    <row r="23" spans="1:6" s="2" customFormat="1" ht="21.75" customHeight="1">
      <c r="A23" s="36" t="s">
        <v>16</v>
      </c>
      <c r="B23" s="34">
        <f t="shared" si="0"/>
        <v>15.88</v>
      </c>
      <c r="C23" s="11"/>
      <c r="D23" s="11"/>
      <c r="E23" s="11"/>
      <c r="F23" s="12">
        <v>15.88</v>
      </c>
    </row>
    <row r="24" spans="1:6" s="2" customFormat="1" ht="21" customHeight="1">
      <c r="A24" s="36" t="s">
        <v>17</v>
      </c>
      <c r="B24" s="34">
        <f t="shared" si="0"/>
        <v>0</v>
      </c>
      <c r="C24" s="11"/>
      <c r="D24" s="11"/>
      <c r="E24" s="11"/>
      <c r="F24" s="12"/>
    </row>
    <row r="25" spans="1:6" s="2" customFormat="1" ht="41.25" customHeight="1">
      <c r="A25" s="86" t="s">
        <v>8</v>
      </c>
      <c r="B25" s="34">
        <f t="shared" si="0"/>
        <v>12349.914</v>
      </c>
      <c r="C25" s="17">
        <f>C26+C27</f>
        <v>6898.7</v>
      </c>
      <c r="D25" s="17"/>
      <c r="E25" s="17">
        <f>E26+E27</f>
        <v>2005.479</v>
      </c>
      <c r="F25" s="18">
        <f>F26+F27</f>
        <v>3445.735</v>
      </c>
    </row>
    <row r="26" spans="1:6" s="2" customFormat="1" ht="19.5" customHeight="1">
      <c r="A26" s="36" t="s">
        <v>18</v>
      </c>
      <c r="B26" s="34">
        <f t="shared" si="0"/>
        <v>10080.632</v>
      </c>
      <c r="C26" s="8">
        <v>6898.7</v>
      </c>
      <c r="D26" s="8"/>
      <c r="E26" s="17">
        <v>2005.479</v>
      </c>
      <c r="F26" s="18">
        <v>1176.453</v>
      </c>
    </row>
    <row r="27" spans="1:6" s="2" customFormat="1" ht="24.75" customHeight="1">
      <c r="A27" s="36" t="s">
        <v>15</v>
      </c>
      <c r="B27" s="34">
        <f t="shared" si="0"/>
        <v>2269.282</v>
      </c>
      <c r="C27" s="8"/>
      <c r="D27" s="8"/>
      <c r="E27" s="17">
        <f>E28+E29</f>
        <v>0</v>
      </c>
      <c r="F27" s="18">
        <f>F28+F29</f>
        <v>2269.282</v>
      </c>
    </row>
    <row r="28" spans="1:6" s="2" customFormat="1" ht="25.5" customHeight="1">
      <c r="A28" s="36" t="s">
        <v>16</v>
      </c>
      <c r="B28" s="34">
        <f t="shared" si="0"/>
        <v>2240.731</v>
      </c>
      <c r="C28" s="11"/>
      <c r="D28" s="11"/>
      <c r="E28" s="11"/>
      <c r="F28" s="12">
        <f>2149.88+90.851</f>
        <v>2240.731</v>
      </c>
    </row>
    <row r="29" spans="1:6" s="2" customFormat="1" ht="20.25" customHeight="1">
      <c r="A29" s="36" t="s">
        <v>17</v>
      </c>
      <c r="B29" s="34">
        <f t="shared" si="0"/>
        <v>28.551</v>
      </c>
      <c r="C29" s="11"/>
      <c r="D29" s="11"/>
      <c r="E29" s="11"/>
      <c r="F29" s="12">
        <v>28.551</v>
      </c>
    </row>
    <row r="30" spans="1:6" s="2" customFormat="1" ht="50.25" customHeight="1">
      <c r="A30" s="86" t="s">
        <v>9</v>
      </c>
      <c r="B30" s="34">
        <f t="shared" si="0"/>
        <v>130.029</v>
      </c>
      <c r="C30" s="17"/>
      <c r="D30" s="17"/>
      <c r="E30" s="17">
        <f>E31+E32</f>
        <v>82.862</v>
      </c>
      <c r="F30" s="18">
        <f>F31+F32</f>
        <v>47.167</v>
      </c>
    </row>
    <row r="31" spans="1:6" s="2" customFormat="1" ht="22.5" customHeight="1">
      <c r="A31" s="36" t="s">
        <v>18</v>
      </c>
      <c r="B31" s="34">
        <f t="shared" si="0"/>
        <v>96.26299999999999</v>
      </c>
      <c r="C31" s="8"/>
      <c r="D31" s="8"/>
      <c r="E31" s="17">
        <v>82.862</v>
      </c>
      <c r="F31" s="18">
        <v>13.401</v>
      </c>
    </row>
    <row r="32" spans="1:6" s="2" customFormat="1" ht="24.75" customHeight="1">
      <c r="A32" s="36" t="s">
        <v>15</v>
      </c>
      <c r="B32" s="34">
        <f t="shared" si="0"/>
        <v>33.766</v>
      </c>
      <c r="C32" s="8"/>
      <c r="D32" s="8"/>
      <c r="E32" s="17">
        <f>E33+E34</f>
        <v>0</v>
      </c>
      <c r="F32" s="18">
        <f>F33+F34</f>
        <v>33.766</v>
      </c>
    </row>
    <row r="33" spans="1:6" s="2" customFormat="1" ht="18" customHeight="1">
      <c r="A33" s="36" t="s">
        <v>16</v>
      </c>
      <c r="B33" s="34">
        <f t="shared" si="0"/>
        <v>28.982</v>
      </c>
      <c r="C33" s="11"/>
      <c r="D33" s="11"/>
      <c r="E33" s="11"/>
      <c r="F33" s="12">
        <v>28.982</v>
      </c>
    </row>
    <row r="34" spans="1:6" s="2" customFormat="1" ht="18" customHeight="1">
      <c r="A34" s="36" t="s">
        <v>17</v>
      </c>
      <c r="B34" s="34">
        <f t="shared" si="0"/>
        <v>4.784</v>
      </c>
      <c r="C34" s="11"/>
      <c r="D34" s="11"/>
      <c r="E34" s="11"/>
      <c r="F34" s="12">
        <v>4.784</v>
      </c>
    </row>
    <row r="35" spans="1:6" s="2" customFormat="1" ht="25.5" customHeight="1">
      <c r="A35" s="86" t="s">
        <v>32</v>
      </c>
      <c r="B35" s="34">
        <f t="shared" si="0"/>
        <v>179.47</v>
      </c>
      <c r="C35" s="17">
        <f>C36+C37</f>
        <v>103.83</v>
      </c>
      <c r="D35" s="23"/>
      <c r="E35" s="17">
        <f>E36+E37</f>
        <v>75.64</v>
      </c>
      <c r="F35" s="18">
        <f>F36+F37</f>
        <v>0</v>
      </c>
    </row>
    <row r="36" spans="1:6" s="2" customFormat="1" ht="23.25" customHeight="1">
      <c r="A36" s="36" t="s">
        <v>18</v>
      </c>
      <c r="B36" s="34">
        <f t="shared" si="0"/>
        <v>167.013</v>
      </c>
      <c r="C36" s="8">
        <v>103.83</v>
      </c>
      <c r="D36" s="8"/>
      <c r="E36" s="8">
        <v>63.183</v>
      </c>
      <c r="F36" s="9"/>
    </row>
    <row r="37" spans="1:6" s="2" customFormat="1" ht="23.25" customHeight="1">
      <c r="A37" s="36" t="s">
        <v>15</v>
      </c>
      <c r="B37" s="34">
        <f t="shared" si="0"/>
        <v>12.457</v>
      </c>
      <c r="C37" s="23">
        <f>C38+C39</f>
        <v>0</v>
      </c>
      <c r="D37" s="8"/>
      <c r="E37" s="23">
        <f>E38+E39</f>
        <v>12.457</v>
      </c>
      <c r="F37" s="18">
        <f>F38+F39</f>
        <v>0</v>
      </c>
    </row>
    <row r="38" spans="1:6" s="2" customFormat="1" ht="23.25" customHeight="1">
      <c r="A38" s="36" t="s">
        <v>16</v>
      </c>
      <c r="B38" s="34">
        <f t="shared" si="0"/>
        <v>0</v>
      </c>
      <c r="C38" s="208"/>
      <c r="D38" s="208"/>
      <c r="E38" s="208"/>
      <c r="F38" s="26"/>
    </row>
    <row r="39" spans="1:6" s="2" customFormat="1" ht="23.25" customHeight="1">
      <c r="A39" s="36" t="s">
        <v>17</v>
      </c>
      <c r="B39" s="34">
        <f t="shared" si="0"/>
        <v>12.457</v>
      </c>
      <c r="C39" s="208"/>
      <c r="D39" s="208"/>
      <c r="E39" s="208">
        <v>12.457</v>
      </c>
      <c r="F39" s="26"/>
    </row>
    <row r="40" spans="1:6" s="2" customFormat="1" ht="42" customHeight="1">
      <c r="A40" s="86" t="s">
        <v>33</v>
      </c>
      <c r="B40" s="34">
        <f t="shared" si="0"/>
        <v>37.625</v>
      </c>
      <c r="C40" s="23">
        <f>C41+C42</f>
        <v>0.807</v>
      </c>
      <c r="D40" s="23"/>
      <c r="E40" s="23">
        <f>E41+E42</f>
        <v>36.818</v>
      </c>
      <c r="F40" s="18"/>
    </row>
    <row r="41" spans="1:6" s="2" customFormat="1" ht="19.5" customHeight="1">
      <c r="A41" s="36" t="s">
        <v>18</v>
      </c>
      <c r="B41" s="34">
        <f t="shared" si="0"/>
        <v>37.625</v>
      </c>
      <c r="C41" s="8">
        <v>0.807</v>
      </c>
      <c r="D41" s="8"/>
      <c r="E41" s="8">
        <v>36.818</v>
      </c>
      <c r="F41" s="9"/>
    </row>
    <row r="42" spans="1:6" s="2" customFormat="1" ht="19.5" customHeight="1">
      <c r="A42" s="36" t="s">
        <v>15</v>
      </c>
      <c r="B42" s="34">
        <f t="shared" si="0"/>
        <v>0</v>
      </c>
      <c r="C42" s="8"/>
      <c r="D42" s="8"/>
      <c r="E42" s="17">
        <f>E43+E44</f>
        <v>0</v>
      </c>
      <c r="F42" s="18">
        <f>F43+F44</f>
        <v>0</v>
      </c>
    </row>
    <row r="43" spans="1:6" s="2" customFormat="1" ht="19.5" customHeight="1">
      <c r="A43" s="36" t="s">
        <v>16</v>
      </c>
      <c r="B43" s="34">
        <f t="shared" si="0"/>
        <v>0</v>
      </c>
      <c r="C43" s="23"/>
      <c r="D43" s="23"/>
      <c r="E43" s="23"/>
      <c r="F43" s="26"/>
    </row>
    <row r="44" spans="1:6" s="2" customFormat="1" ht="19.5" customHeight="1">
      <c r="A44" s="36" t="s">
        <v>17</v>
      </c>
      <c r="B44" s="34">
        <f t="shared" si="0"/>
        <v>0</v>
      </c>
      <c r="C44" s="23"/>
      <c r="D44" s="23"/>
      <c r="E44" s="23"/>
      <c r="F44" s="26"/>
    </row>
    <row r="45" spans="1:6" s="2" customFormat="1" ht="24.75" customHeight="1">
      <c r="A45" s="86" t="s">
        <v>10</v>
      </c>
      <c r="B45" s="34">
        <f t="shared" si="0"/>
        <v>967.246</v>
      </c>
      <c r="C45" s="17"/>
      <c r="D45" s="8"/>
      <c r="E45" s="17">
        <f>E46+E47</f>
        <v>442.962</v>
      </c>
      <c r="F45" s="18">
        <f>F46+F47</f>
        <v>524.284</v>
      </c>
    </row>
    <row r="46" spans="1:6" s="2" customFormat="1" ht="24.75" customHeight="1">
      <c r="A46" s="36" t="s">
        <v>18</v>
      </c>
      <c r="B46" s="34">
        <f t="shared" si="0"/>
        <v>562.041</v>
      </c>
      <c r="C46" s="8"/>
      <c r="D46" s="8"/>
      <c r="E46" s="17">
        <v>421.879</v>
      </c>
      <c r="F46" s="18">
        <v>140.162</v>
      </c>
    </row>
    <row r="47" spans="1:6" s="2" customFormat="1" ht="24.75" customHeight="1">
      <c r="A47" s="36" t="s">
        <v>15</v>
      </c>
      <c r="B47" s="34">
        <f t="shared" si="0"/>
        <v>405.2049999999999</v>
      </c>
      <c r="C47" s="8"/>
      <c r="D47" s="8"/>
      <c r="E47" s="17">
        <f>E48+E49</f>
        <v>21.083</v>
      </c>
      <c r="F47" s="18">
        <f>F48+F49</f>
        <v>384.12199999999996</v>
      </c>
    </row>
    <row r="48" spans="1:6" s="2" customFormat="1" ht="24.75" customHeight="1">
      <c r="A48" s="36" t="s">
        <v>16</v>
      </c>
      <c r="B48" s="34">
        <f t="shared" si="0"/>
        <v>314.897</v>
      </c>
      <c r="C48" s="8"/>
      <c r="D48" s="8"/>
      <c r="E48" s="11">
        <v>20.223</v>
      </c>
      <c r="F48" s="12">
        <f>275.594+19.08</f>
        <v>294.674</v>
      </c>
    </row>
    <row r="49" spans="1:6" s="2" customFormat="1" ht="24.75" customHeight="1">
      <c r="A49" s="36" t="s">
        <v>17</v>
      </c>
      <c r="B49" s="34">
        <f t="shared" si="0"/>
        <v>90.30799999999999</v>
      </c>
      <c r="C49" s="8"/>
      <c r="D49" s="8"/>
      <c r="E49" s="11">
        <v>0.86</v>
      </c>
      <c r="F49" s="12">
        <v>89.448</v>
      </c>
    </row>
    <row r="50" spans="1:6" s="2" customFormat="1" ht="24.75" customHeight="1">
      <c r="A50" s="86" t="s">
        <v>5</v>
      </c>
      <c r="B50" s="34">
        <f t="shared" si="0"/>
        <v>2391.201</v>
      </c>
      <c r="C50" s="17">
        <f>C51+C52</f>
        <v>325.44</v>
      </c>
      <c r="D50" s="8"/>
      <c r="E50" s="17">
        <f>E51+E52</f>
        <v>1081.4879999999998</v>
      </c>
      <c r="F50" s="18">
        <f>F51+F52</f>
        <v>984.273</v>
      </c>
    </row>
    <row r="51" spans="1:6" s="2" customFormat="1" ht="24.75" customHeight="1">
      <c r="A51" s="36" t="s">
        <v>18</v>
      </c>
      <c r="B51" s="34">
        <f t="shared" si="0"/>
        <v>1503.4740000000002</v>
      </c>
      <c r="C51" s="17">
        <v>325.44</v>
      </c>
      <c r="D51" s="8"/>
      <c r="E51" s="17">
        <v>625.069</v>
      </c>
      <c r="F51" s="18">
        <v>552.965</v>
      </c>
    </row>
    <row r="52" spans="1:6" s="2" customFormat="1" ht="24.75" customHeight="1">
      <c r="A52" s="36" t="s">
        <v>15</v>
      </c>
      <c r="B52" s="34">
        <f t="shared" si="0"/>
        <v>887.727</v>
      </c>
      <c r="C52" s="8"/>
      <c r="D52" s="8"/>
      <c r="E52" s="17">
        <f>E53+E54</f>
        <v>456.419</v>
      </c>
      <c r="F52" s="18">
        <f>F53+F54</f>
        <v>431.308</v>
      </c>
    </row>
    <row r="53" spans="1:6" s="2" customFormat="1" ht="24.75" customHeight="1">
      <c r="A53" s="36" t="s">
        <v>16</v>
      </c>
      <c r="B53" s="34">
        <f t="shared" si="0"/>
        <v>884.727</v>
      </c>
      <c r="C53" s="11"/>
      <c r="D53" s="11"/>
      <c r="E53" s="11">
        <f>437.417+16.002</f>
        <v>453.419</v>
      </c>
      <c r="F53" s="12">
        <f>378.908+52.4</f>
        <v>431.308</v>
      </c>
    </row>
    <row r="54" spans="1:9" s="2" customFormat="1" ht="24.75" customHeight="1">
      <c r="A54" s="36" t="s">
        <v>17</v>
      </c>
      <c r="B54" s="34">
        <f t="shared" si="0"/>
        <v>3</v>
      </c>
      <c r="C54" s="11"/>
      <c r="D54" s="11"/>
      <c r="E54" s="11">
        <v>3</v>
      </c>
      <c r="F54" s="12"/>
      <c r="G54" s="123"/>
      <c r="H54" s="121"/>
      <c r="I54" s="121"/>
    </row>
    <row r="55" spans="1:6" s="2" customFormat="1" ht="50.25" customHeight="1">
      <c r="A55" s="86" t="s">
        <v>11</v>
      </c>
      <c r="B55" s="34">
        <f t="shared" si="0"/>
        <v>5727.629999999999</v>
      </c>
      <c r="C55" s="17"/>
      <c r="D55" s="8"/>
      <c r="E55" s="17">
        <f>E56+E57</f>
        <v>1398.578</v>
      </c>
      <c r="F55" s="18">
        <f>F56+F57</f>
        <v>4329.052</v>
      </c>
    </row>
    <row r="56" spans="1:6" s="2" customFormat="1" ht="26.25" customHeight="1">
      <c r="A56" s="36" t="s">
        <v>18</v>
      </c>
      <c r="B56" s="34">
        <f t="shared" si="0"/>
        <v>2840.596</v>
      </c>
      <c r="C56" s="8"/>
      <c r="D56" s="8"/>
      <c r="E56" s="17">
        <v>1265.411</v>
      </c>
      <c r="F56" s="18">
        <v>1575.185</v>
      </c>
    </row>
    <row r="57" spans="1:6" s="2" customFormat="1" ht="26.25" customHeight="1">
      <c r="A57" s="36" t="s">
        <v>15</v>
      </c>
      <c r="B57" s="34">
        <f t="shared" si="0"/>
        <v>2887.0339999999997</v>
      </c>
      <c r="C57" s="8"/>
      <c r="D57" s="8"/>
      <c r="E57" s="17">
        <f>E58+E59</f>
        <v>133.167</v>
      </c>
      <c r="F57" s="18">
        <f>F58+F59</f>
        <v>2753.8669999999997</v>
      </c>
    </row>
    <row r="58" spans="1:6" s="2" customFormat="1" ht="26.25" customHeight="1">
      <c r="A58" s="36" t="s">
        <v>16</v>
      </c>
      <c r="B58" s="34">
        <f t="shared" si="0"/>
        <v>649.1930000000001</v>
      </c>
      <c r="C58" s="10"/>
      <c r="D58" s="8"/>
      <c r="E58" s="11">
        <v>29.421</v>
      </c>
      <c r="F58" s="12">
        <v>619.772</v>
      </c>
    </row>
    <row r="59" spans="1:6" s="2" customFormat="1" ht="26.25" customHeight="1">
      <c r="A59" s="36" t="s">
        <v>17</v>
      </c>
      <c r="B59" s="34">
        <f t="shared" si="0"/>
        <v>2237.841</v>
      </c>
      <c r="C59" s="10"/>
      <c r="D59" s="8"/>
      <c r="E59" s="11">
        <v>103.746</v>
      </c>
      <c r="F59" s="12">
        <v>2134.095</v>
      </c>
    </row>
    <row r="60" spans="1:6" s="2" customFormat="1" ht="24.75" customHeight="1">
      <c r="A60" s="87" t="s">
        <v>39</v>
      </c>
      <c r="B60" s="34">
        <f t="shared" si="0"/>
        <v>147.37099999999998</v>
      </c>
      <c r="C60" s="10"/>
      <c r="D60" s="8"/>
      <c r="E60" s="8">
        <f>E61+E62</f>
        <v>68.598</v>
      </c>
      <c r="F60" s="9">
        <f>F61+F62</f>
        <v>78.773</v>
      </c>
    </row>
    <row r="61" spans="1:6" s="2" customFormat="1" ht="21.75" customHeight="1">
      <c r="A61" s="36" t="s">
        <v>18</v>
      </c>
      <c r="B61" s="34">
        <f t="shared" si="0"/>
        <v>147.37099999999998</v>
      </c>
      <c r="C61" s="8"/>
      <c r="D61" s="8"/>
      <c r="E61" s="17">
        <v>68.598</v>
      </c>
      <c r="F61" s="18">
        <v>78.773</v>
      </c>
    </row>
    <row r="62" spans="1:6" s="2" customFormat="1" ht="16.5" customHeight="1">
      <c r="A62" s="36" t="s">
        <v>15</v>
      </c>
      <c r="B62" s="34">
        <f t="shared" si="0"/>
        <v>0</v>
      </c>
      <c r="C62" s="8"/>
      <c r="D62" s="8"/>
      <c r="E62" s="17">
        <f>E63+E64</f>
        <v>0</v>
      </c>
      <c r="F62" s="18">
        <f>F63+F64</f>
        <v>0</v>
      </c>
    </row>
    <row r="63" spans="1:6" s="2" customFormat="1" ht="18" customHeight="1">
      <c r="A63" s="36" t="s">
        <v>16</v>
      </c>
      <c r="B63" s="34">
        <f t="shared" si="0"/>
        <v>0</v>
      </c>
      <c r="C63" s="10"/>
      <c r="D63" s="8"/>
      <c r="E63" s="10"/>
      <c r="F63" s="19"/>
    </row>
    <row r="64" spans="1:6" s="2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</row>
    <row r="65" spans="1:6" s="2" customFormat="1" ht="24.75" customHeight="1">
      <c r="A65" s="87" t="s">
        <v>4</v>
      </c>
      <c r="B65" s="34">
        <f t="shared" si="0"/>
        <v>711.007</v>
      </c>
      <c r="C65" s="17">
        <f>C66+C67</f>
        <v>711.007</v>
      </c>
      <c r="D65" s="8"/>
      <c r="E65" s="8"/>
      <c r="F65" s="9"/>
    </row>
    <row r="66" spans="1:6" s="2" customFormat="1" ht="21.75" customHeight="1">
      <c r="A66" s="36" t="s">
        <v>18</v>
      </c>
      <c r="B66" s="34">
        <f t="shared" si="0"/>
        <v>711.007</v>
      </c>
      <c r="C66" s="17">
        <v>711.007</v>
      </c>
      <c r="D66" s="8"/>
      <c r="E66" s="17">
        <f>E65-E67</f>
        <v>0</v>
      </c>
      <c r="F66" s="18">
        <f>F65-F67</f>
        <v>0</v>
      </c>
    </row>
    <row r="67" spans="1:6" s="2" customFormat="1" ht="18" customHeight="1">
      <c r="A67" s="36" t="s">
        <v>15</v>
      </c>
      <c r="B67" s="34">
        <f t="shared" si="0"/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</row>
    <row r="68" spans="1:6" s="2" customFormat="1" ht="19.5" customHeight="1">
      <c r="A68" s="36" t="s">
        <v>16</v>
      </c>
      <c r="B68" s="34">
        <f t="shared" si="0"/>
        <v>0</v>
      </c>
      <c r="C68" s="11"/>
      <c r="D68" s="8"/>
      <c r="E68" s="8"/>
      <c r="F68" s="9"/>
    </row>
    <row r="69" spans="1:6" s="2" customFormat="1" ht="19.5" customHeight="1" thickBot="1">
      <c r="A69" s="37" t="s">
        <v>17</v>
      </c>
      <c r="B69" s="35">
        <f t="shared" si="0"/>
        <v>0</v>
      </c>
      <c r="C69" s="16"/>
      <c r="D69" s="15"/>
      <c r="E69" s="15"/>
      <c r="F69" s="20"/>
    </row>
    <row r="70" spans="1:6" s="3" customFormat="1" ht="27.75" customHeight="1">
      <c r="A70" s="140" t="s">
        <v>26</v>
      </c>
      <c r="B70" s="95">
        <f aca="true" t="shared" si="1" ref="B70:B78">C70+D70+E70+F70</f>
        <v>363.41</v>
      </c>
      <c r="C70" s="142"/>
      <c r="D70" s="142"/>
      <c r="E70" s="142">
        <v>363.41</v>
      </c>
      <c r="F70" s="143"/>
    </row>
    <row r="71" spans="1:6" s="3" customFormat="1" ht="27.75" customHeight="1">
      <c r="A71" s="54" t="s">
        <v>27</v>
      </c>
      <c r="B71" s="5">
        <f t="shared" si="1"/>
        <v>20.9</v>
      </c>
      <c r="C71" s="25"/>
      <c r="D71" s="25"/>
      <c r="E71" s="25">
        <v>20.9</v>
      </c>
      <c r="F71" s="26"/>
    </row>
    <row r="72" spans="1:6" s="3" customFormat="1" ht="27.75" customHeight="1">
      <c r="A72" s="54" t="s">
        <v>34</v>
      </c>
      <c r="B72" s="5">
        <f t="shared" si="1"/>
        <v>533.724</v>
      </c>
      <c r="C72" s="25"/>
      <c r="D72" s="25"/>
      <c r="E72" s="144">
        <v>476.923</v>
      </c>
      <c r="F72" s="139">
        <v>56.801</v>
      </c>
    </row>
    <row r="73" spans="1:6" s="3" customFormat="1" ht="27.75" customHeight="1">
      <c r="A73" s="62" t="s">
        <v>35</v>
      </c>
      <c r="B73" s="5">
        <f t="shared" si="1"/>
        <v>1559.8000000000002</v>
      </c>
      <c r="C73" s="25">
        <v>1548.4</v>
      </c>
      <c r="D73" s="25"/>
      <c r="E73" s="25"/>
      <c r="F73" s="26">
        <v>11.4</v>
      </c>
    </row>
    <row r="74" spans="1:6" s="3" customFormat="1" ht="27.75" customHeight="1">
      <c r="A74" s="54" t="s">
        <v>28</v>
      </c>
      <c r="B74" s="5">
        <f t="shared" si="1"/>
        <v>688.77</v>
      </c>
      <c r="C74" s="25">
        <v>424.001</v>
      </c>
      <c r="D74" s="144"/>
      <c r="E74" s="144">
        <v>216.756</v>
      </c>
      <c r="F74" s="139">
        <v>48.013</v>
      </c>
    </row>
    <row r="75" spans="1:6" s="3" customFormat="1" ht="27.75" customHeight="1">
      <c r="A75" s="62" t="s">
        <v>29</v>
      </c>
      <c r="B75" s="104">
        <f t="shared" si="1"/>
        <v>491.202</v>
      </c>
      <c r="C75" s="58"/>
      <c r="D75" s="58"/>
      <c r="E75" s="58">
        <v>491.202</v>
      </c>
      <c r="F75" s="59"/>
    </row>
    <row r="76" spans="1:6" s="3" customFormat="1" ht="37.5" customHeight="1">
      <c r="A76" s="105" t="s">
        <v>30</v>
      </c>
      <c r="B76" s="104">
        <f t="shared" si="1"/>
        <v>60.853</v>
      </c>
      <c r="C76" s="58"/>
      <c r="D76" s="58"/>
      <c r="E76" s="58"/>
      <c r="F76" s="59">
        <v>60.853</v>
      </c>
    </row>
    <row r="77" spans="1:6" s="3" customFormat="1" ht="36.75" thickBot="1">
      <c r="A77" s="106" t="s">
        <v>31</v>
      </c>
      <c r="B77" s="107">
        <f t="shared" si="1"/>
        <v>216.87</v>
      </c>
      <c r="C77" s="63"/>
      <c r="D77" s="63"/>
      <c r="E77" s="63">
        <v>8.687</v>
      </c>
      <c r="F77" s="64">
        <v>208.183</v>
      </c>
    </row>
    <row r="78" spans="1:6" s="6" customFormat="1" ht="25.5" customHeight="1" thickBot="1">
      <c r="A78" s="44" t="s">
        <v>12</v>
      </c>
      <c r="B78" s="88">
        <f t="shared" si="1"/>
        <v>117187.63100000001</v>
      </c>
      <c r="C78" s="89">
        <f>C5+C10+C15+C20+C25+C30+C35+C40+C45+C50+C55+C60+C65+C70+C71+C72+C73+C74+C75+C76+C77</f>
        <v>49503.896</v>
      </c>
      <c r="D78" s="89">
        <f>D5+D10+D15+D20+D25+D30+D35+D40+D45+D50+D55+D60+D65+D70+D71+D72+D73+D74+D75+D76+D77</f>
        <v>2047.846</v>
      </c>
      <c r="E78" s="89">
        <f>E5+E10+E15+E20+E25+E30+E35+E40+E45+E50+E55+E60+E65+E70+E71+E72+E73+E74+E75+E76+E77</f>
        <v>28587.47500000001</v>
      </c>
      <c r="F78" s="89">
        <f>F5+F10+F15+F20+F25+F30+F35+F40+F45+F50+F55+F60+F65+F70+F71+F72+F73+F74+F75+F76+F77</f>
        <v>37048.414000000004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5" sqref="C95"/>
    </sheetView>
  </sheetViews>
  <sheetFormatPr defaultColWidth="9.00390625" defaultRowHeight="12.75"/>
  <cols>
    <col min="1" max="1" width="56.25390625" style="0" customWidth="1"/>
    <col min="2" max="2" width="27.00390625" style="0" customWidth="1"/>
    <col min="3" max="6" width="25.2539062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49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23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45.75" customHeight="1">
      <c r="A5" s="82" t="s">
        <v>7</v>
      </c>
      <c r="B5" s="114">
        <f aca="true" t="shared" si="0" ref="B5:B69">C5+D5+E5+F5</f>
        <v>70637.3</v>
      </c>
      <c r="C5" s="115">
        <f>C6+C7</f>
        <v>32379.22</v>
      </c>
      <c r="D5" s="115">
        <f>D6+D7</f>
        <v>1122.994</v>
      </c>
      <c r="E5" s="115">
        <f>E6+E7</f>
        <v>15833.413</v>
      </c>
      <c r="F5" s="116">
        <f>F6+F7</f>
        <v>21301.673</v>
      </c>
    </row>
    <row r="6" spans="1:6" s="2" customFormat="1" ht="27" customHeight="1">
      <c r="A6" s="36" t="s">
        <v>18</v>
      </c>
      <c r="B6" s="34">
        <f t="shared" si="0"/>
        <v>56564.351</v>
      </c>
      <c r="C6" s="8">
        <v>32141.507</v>
      </c>
      <c r="D6" s="8">
        <v>1121.964</v>
      </c>
      <c r="E6" s="8">
        <v>15266.608</v>
      </c>
      <c r="F6" s="9">
        <v>8034.272</v>
      </c>
    </row>
    <row r="7" spans="1:6" s="2" customFormat="1" ht="20.25" customHeight="1">
      <c r="A7" s="36" t="s">
        <v>15</v>
      </c>
      <c r="B7" s="34">
        <f t="shared" si="0"/>
        <v>14072.949</v>
      </c>
      <c r="C7" s="8">
        <f>C8+C9</f>
        <v>237.713</v>
      </c>
      <c r="D7" s="17">
        <f>D8+D9</f>
        <v>1.03</v>
      </c>
      <c r="E7" s="17">
        <f>E8+E9</f>
        <v>566.8050000000001</v>
      </c>
      <c r="F7" s="18">
        <f>F8+F9</f>
        <v>13267.401</v>
      </c>
    </row>
    <row r="8" spans="1:6" s="2" customFormat="1" ht="21.75" customHeight="1">
      <c r="A8" s="36" t="s">
        <v>16</v>
      </c>
      <c r="B8" s="34">
        <f t="shared" si="0"/>
        <v>4015.354</v>
      </c>
      <c r="C8" s="11">
        <f>39.549+6.72</f>
        <v>46.269</v>
      </c>
      <c r="D8" s="11"/>
      <c r="E8" s="11">
        <v>87.262</v>
      </c>
      <c r="F8" s="12">
        <v>3881.823</v>
      </c>
    </row>
    <row r="9" spans="1:6" s="2" customFormat="1" ht="24.75" customHeight="1">
      <c r="A9" s="36" t="s">
        <v>17</v>
      </c>
      <c r="B9" s="34">
        <f t="shared" si="0"/>
        <v>10057.595</v>
      </c>
      <c r="C9" s="11">
        <v>191.444</v>
      </c>
      <c r="D9" s="11">
        <v>1.03</v>
      </c>
      <c r="E9" s="11">
        <v>479.543</v>
      </c>
      <c r="F9" s="12">
        <v>9385.578</v>
      </c>
    </row>
    <row r="10" spans="1:6" s="2" customFormat="1" ht="34.5" customHeight="1">
      <c r="A10" s="86" t="s">
        <v>13</v>
      </c>
      <c r="B10" s="34">
        <f t="shared" si="0"/>
        <v>4707.711</v>
      </c>
      <c r="C10" s="17">
        <f>C11+C12</f>
        <v>631.09</v>
      </c>
      <c r="D10" s="17"/>
      <c r="E10" s="17">
        <f>E11+E12</f>
        <v>1621.379</v>
      </c>
      <c r="F10" s="18">
        <f>F11+F12</f>
        <v>2455.242</v>
      </c>
    </row>
    <row r="11" spans="1:6" s="2" customFormat="1" ht="21.75" customHeight="1">
      <c r="A11" s="36" t="s">
        <v>18</v>
      </c>
      <c r="B11" s="34">
        <f t="shared" si="0"/>
        <v>2838.377</v>
      </c>
      <c r="C11" s="8">
        <v>594.548</v>
      </c>
      <c r="D11" s="8"/>
      <c r="E11" s="8">
        <v>1354.077</v>
      </c>
      <c r="F11" s="9">
        <v>889.752</v>
      </c>
    </row>
    <row r="12" spans="1:6" s="2" customFormat="1" ht="19.5" customHeight="1">
      <c r="A12" s="36" t="s">
        <v>15</v>
      </c>
      <c r="B12" s="34">
        <f t="shared" si="0"/>
        <v>1869.3340000000003</v>
      </c>
      <c r="C12" s="17">
        <f>C13+C14</f>
        <v>36.542</v>
      </c>
      <c r="D12" s="8"/>
      <c r="E12" s="17">
        <f>E13+E14</f>
        <v>267.302</v>
      </c>
      <c r="F12" s="18">
        <f>F13+F14</f>
        <v>1565.4900000000002</v>
      </c>
    </row>
    <row r="13" spans="1:6" s="2" customFormat="1" ht="17.25" customHeight="1">
      <c r="A13" s="36" t="s">
        <v>16</v>
      </c>
      <c r="B13" s="34">
        <f t="shared" si="0"/>
        <v>1080.6550000000002</v>
      </c>
      <c r="C13" s="11"/>
      <c r="D13" s="11"/>
      <c r="E13" s="11">
        <v>50.88</v>
      </c>
      <c r="F13" s="12">
        <v>1029.775</v>
      </c>
    </row>
    <row r="14" spans="1:6" s="2" customFormat="1" ht="17.25" customHeight="1">
      <c r="A14" s="36" t="s">
        <v>17</v>
      </c>
      <c r="B14" s="34">
        <f t="shared" si="0"/>
        <v>788.6790000000001</v>
      </c>
      <c r="C14" s="11">
        <v>36.542</v>
      </c>
      <c r="D14" s="11"/>
      <c r="E14" s="11">
        <v>216.422</v>
      </c>
      <c r="F14" s="12">
        <v>535.715</v>
      </c>
    </row>
    <row r="15" spans="1:6" s="2" customFormat="1" ht="35.25" customHeight="1">
      <c r="A15" s="86" t="s">
        <v>6</v>
      </c>
      <c r="B15" s="34">
        <f t="shared" si="0"/>
        <v>1180.979</v>
      </c>
      <c r="C15" s="17">
        <f>C16+C17</f>
        <v>1180.979</v>
      </c>
      <c r="D15" s="8"/>
      <c r="E15" s="8"/>
      <c r="F15" s="9"/>
    </row>
    <row r="16" spans="1:6" s="2" customFormat="1" ht="19.5" customHeight="1">
      <c r="A16" s="36" t="s">
        <v>18</v>
      </c>
      <c r="B16" s="34">
        <f t="shared" si="0"/>
        <v>1180.653</v>
      </c>
      <c r="C16" s="8">
        <v>1180.653</v>
      </c>
      <c r="D16" s="8"/>
      <c r="E16" s="17"/>
      <c r="F16" s="18"/>
    </row>
    <row r="17" spans="1:6" s="2" customFormat="1" ht="18" customHeight="1">
      <c r="A17" s="36" t="s">
        <v>15</v>
      </c>
      <c r="B17" s="34">
        <f t="shared" si="0"/>
        <v>0.326</v>
      </c>
      <c r="C17" s="17">
        <f>C18+C19</f>
        <v>0.326</v>
      </c>
      <c r="D17" s="8"/>
      <c r="E17" s="17"/>
      <c r="F17" s="18"/>
    </row>
    <row r="18" spans="1:6" s="2" customFormat="1" ht="19.5" customHeight="1">
      <c r="A18" s="36" t="s">
        <v>16</v>
      </c>
      <c r="B18" s="34">
        <f t="shared" si="0"/>
        <v>0.326</v>
      </c>
      <c r="C18" s="11">
        <v>0.326</v>
      </c>
      <c r="D18" s="11"/>
      <c r="E18" s="11"/>
      <c r="F18" s="12"/>
    </row>
    <row r="19" spans="1:6" s="2" customFormat="1" ht="19.5" customHeight="1">
      <c r="A19" s="36" t="s">
        <v>17</v>
      </c>
      <c r="B19" s="34">
        <f t="shared" si="0"/>
        <v>0</v>
      </c>
      <c r="C19" s="11"/>
      <c r="D19" s="11"/>
      <c r="E19" s="11"/>
      <c r="F19" s="12"/>
    </row>
    <row r="20" spans="1:6" s="2" customFormat="1" ht="36" customHeight="1">
      <c r="A20" s="86" t="s">
        <v>36</v>
      </c>
      <c r="B20" s="34">
        <f t="shared" si="0"/>
        <v>156.966</v>
      </c>
      <c r="C20" s="17">
        <f>C21+C22</f>
        <v>9.011</v>
      </c>
      <c r="D20" s="17">
        <f>D21+D22</f>
        <v>41.439</v>
      </c>
      <c r="E20" s="17">
        <f>E21+E22</f>
        <v>29.3</v>
      </c>
      <c r="F20" s="18">
        <f>F21+F22</f>
        <v>77.216</v>
      </c>
    </row>
    <row r="21" spans="1:6" s="2" customFormat="1" ht="21.75" customHeight="1">
      <c r="A21" s="36" t="s">
        <v>18</v>
      </c>
      <c r="B21" s="34">
        <f t="shared" si="0"/>
        <v>134.80599999999998</v>
      </c>
      <c r="C21" s="8">
        <v>9.011</v>
      </c>
      <c r="D21" s="8">
        <v>41.439</v>
      </c>
      <c r="E21" s="8">
        <v>29.3</v>
      </c>
      <c r="F21" s="9">
        <v>55.056</v>
      </c>
    </row>
    <row r="22" spans="1:6" s="2" customFormat="1" ht="21" customHeight="1">
      <c r="A22" s="36" t="s">
        <v>15</v>
      </c>
      <c r="B22" s="34">
        <f t="shared" si="0"/>
        <v>22.16</v>
      </c>
      <c r="C22" s="8"/>
      <c r="D22" s="8"/>
      <c r="E22" s="17">
        <f>E23+E24</f>
        <v>0</v>
      </c>
      <c r="F22" s="18">
        <f>F23+F24</f>
        <v>22.16</v>
      </c>
    </row>
    <row r="23" spans="1:6" s="2" customFormat="1" ht="21.75" customHeight="1">
      <c r="A23" s="36" t="s">
        <v>16</v>
      </c>
      <c r="B23" s="34">
        <f t="shared" si="0"/>
        <v>22.16</v>
      </c>
      <c r="C23" s="11"/>
      <c r="D23" s="11"/>
      <c r="E23" s="11"/>
      <c r="F23" s="12">
        <v>22.16</v>
      </c>
    </row>
    <row r="24" spans="1:6" s="2" customFormat="1" ht="21" customHeight="1">
      <c r="A24" s="36" t="s">
        <v>17</v>
      </c>
      <c r="B24" s="34">
        <f t="shared" si="0"/>
        <v>0</v>
      </c>
      <c r="C24" s="11"/>
      <c r="D24" s="11"/>
      <c r="E24" s="11"/>
      <c r="F24" s="12"/>
    </row>
    <row r="25" spans="1:6" s="2" customFormat="1" ht="41.25" customHeight="1">
      <c r="A25" s="86" t="s">
        <v>8</v>
      </c>
      <c r="B25" s="34">
        <f t="shared" si="0"/>
        <v>12076.36</v>
      </c>
      <c r="C25" s="17">
        <f>C26+C27</f>
        <v>7243.57</v>
      </c>
      <c r="D25" s="17"/>
      <c r="E25" s="17">
        <f>E26+E27</f>
        <v>1741.44</v>
      </c>
      <c r="F25" s="18">
        <f>F26+F27</f>
        <v>3091.35</v>
      </c>
    </row>
    <row r="26" spans="1:6" s="2" customFormat="1" ht="19.5" customHeight="1">
      <c r="A26" s="36" t="s">
        <v>18</v>
      </c>
      <c r="B26" s="34">
        <f t="shared" si="0"/>
        <v>9899.761999999999</v>
      </c>
      <c r="C26" s="8">
        <v>7243.57</v>
      </c>
      <c r="D26" s="8"/>
      <c r="E26" s="17">
        <v>1705.978</v>
      </c>
      <c r="F26" s="18">
        <v>950.214</v>
      </c>
    </row>
    <row r="27" spans="1:6" s="2" customFormat="1" ht="24.75" customHeight="1">
      <c r="A27" s="36" t="s">
        <v>15</v>
      </c>
      <c r="B27" s="34">
        <f t="shared" si="0"/>
        <v>2176.598</v>
      </c>
      <c r="C27" s="8"/>
      <c r="D27" s="8"/>
      <c r="E27" s="17">
        <f>E28+E29</f>
        <v>35.462</v>
      </c>
      <c r="F27" s="18">
        <f>F28+F29</f>
        <v>2141.136</v>
      </c>
    </row>
    <row r="28" spans="1:6" s="2" customFormat="1" ht="25.5" customHeight="1">
      <c r="A28" s="36" t="s">
        <v>16</v>
      </c>
      <c r="B28" s="34">
        <f t="shared" si="0"/>
        <v>2148.543</v>
      </c>
      <c r="C28" s="11"/>
      <c r="D28" s="11"/>
      <c r="E28" s="11">
        <v>35.462</v>
      </c>
      <c r="F28" s="12">
        <f>2049.03+64.051</f>
        <v>2113.081</v>
      </c>
    </row>
    <row r="29" spans="1:6" s="2" customFormat="1" ht="20.25" customHeight="1">
      <c r="A29" s="36" t="s">
        <v>17</v>
      </c>
      <c r="B29" s="34">
        <f t="shared" si="0"/>
        <v>28.055</v>
      </c>
      <c r="C29" s="11"/>
      <c r="D29" s="11"/>
      <c r="E29" s="11"/>
      <c r="F29" s="12">
        <v>28.055</v>
      </c>
    </row>
    <row r="30" spans="1:6" s="2" customFormat="1" ht="50.25" customHeight="1">
      <c r="A30" s="86" t="s">
        <v>9</v>
      </c>
      <c r="B30" s="34">
        <f t="shared" si="0"/>
        <v>112.68599999999999</v>
      </c>
      <c r="C30" s="17"/>
      <c r="D30" s="17"/>
      <c r="E30" s="17">
        <f>E31+E32</f>
        <v>76.857</v>
      </c>
      <c r="F30" s="18">
        <f>F31+F32</f>
        <v>35.82899999999999</v>
      </c>
    </row>
    <row r="31" spans="1:6" s="2" customFormat="1" ht="22.5" customHeight="1">
      <c r="A31" s="36" t="s">
        <v>18</v>
      </c>
      <c r="B31" s="34">
        <f t="shared" si="0"/>
        <v>86.7</v>
      </c>
      <c r="C31" s="8"/>
      <c r="D31" s="8"/>
      <c r="E31" s="17">
        <v>76.857</v>
      </c>
      <c r="F31" s="18">
        <v>9.843</v>
      </c>
    </row>
    <row r="32" spans="1:6" s="2" customFormat="1" ht="24.75" customHeight="1">
      <c r="A32" s="36" t="s">
        <v>15</v>
      </c>
      <c r="B32" s="34">
        <f t="shared" si="0"/>
        <v>25.985999999999997</v>
      </c>
      <c r="C32" s="8"/>
      <c r="D32" s="8"/>
      <c r="E32" s="17">
        <f>E33+E34</f>
        <v>0</v>
      </c>
      <c r="F32" s="18">
        <f>F33+F34</f>
        <v>25.985999999999997</v>
      </c>
    </row>
    <row r="33" spans="1:6" s="2" customFormat="1" ht="18" customHeight="1">
      <c r="A33" s="36" t="s">
        <v>16</v>
      </c>
      <c r="B33" s="34">
        <f t="shared" si="0"/>
        <v>21.79</v>
      </c>
      <c r="C33" s="11"/>
      <c r="D33" s="11"/>
      <c r="E33" s="11"/>
      <c r="F33" s="12">
        <v>21.79</v>
      </c>
    </row>
    <row r="34" spans="1:6" s="2" customFormat="1" ht="18" customHeight="1">
      <c r="A34" s="36" t="s">
        <v>17</v>
      </c>
      <c r="B34" s="34">
        <f t="shared" si="0"/>
        <v>4.196</v>
      </c>
      <c r="C34" s="11"/>
      <c r="D34" s="11"/>
      <c r="E34" s="11"/>
      <c r="F34" s="12">
        <v>4.196</v>
      </c>
    </row>
    <row r="35" spans="1:6" s="2" customFormat="1" ht="25.5" customHeight="1">
      <c r="A35" s="86" t="s">
        <v>32</v>
      </c>
      <c r="B35" s="34">
        <f t="shared" si="0"/>
        <v>101.276</v>
      </c>
      <c r="C35" s="17">
        <f>C36+C37</f>
        <v>67.63</v>
      </c>
      <c r="D35" s="23"/>
      <c r="E35" s="17">
        <f>E36+E37</f>
        <v>33.646</v>
      </c>
      <c r="F35" s="18">
        <f>F36+F37</f>
        <v>0</v>
      </c>
    </row>
    <row r="36" spans="1:6" s="2" customFormat="1" ht="23.25" customHeight="1">
      <c r="A36" s="36" t="s">
        <v>18</v>
      </c>
      <c r="B36" s="34">
        <f t="shared" si="0"/>
        <v>88.928</v>
      </c>
      <c r="C36" s="8">
        <v>67.63</v>
      </c>
      <c r="D36" s="8"/>
      <c r="E36" s="8">
        <v>21.298</v>
      </c>
      <c r="F36" s="9"/>
    </row>
    <row r="37" spans="1:6" s="2" customFormat="1" ht="23.25" customHeight="1">
      <c r="A37" s="36" t="s">
        <v>15</v>
      </c>
      <c r="B37" s="34">
        <f t="shared" si="0"/>
        <v>12.348</v>
      </c>
      <c r="C37" s="17">
        <f>C38+C39</f>
        <v>0</v>
      </c>
      <c r="D37" s="8"/>
      <c r="E37" s="17">
        <f>E38+E39</f>
        <v>12.348</v>
      </c>
      <c r="F37" s="18">
        <f>F38+F39</f>
        <v>0</v>
      </c>
    </row>
    <row r="38" spans="1:6" s="2" customFormat="1" ht="23.25" customHeight="1">
      <c r="A38" s="36" t="s">
        <v>16</v>
      </c>
      <c r="B38" s="34">
        <f t="shared" si="0"/>
        <v>0</v>
      </c>
      <c r="C38" s="23"/>
      <c r="D38" s="23"/>
      <c r="E38" s="23"/>
      <c r="F38" s="26"/>
    </row>
    <row r="39" spans="1:6" s="2" customFormat="1" ht="23.25" customHeight="1">
      <c r="A39" s="36" t="s">
        <v>17</v>
      </c>
      <c r="B39" s="34">
        <f t="shared" si="0"/>
        <v>12.348</v>
      </c>
      <c r="C39" s="23"/>
      <c r="D39" s="23"/>
      <c r="E39" s="23">
        <v>12.348</v>
      </c>
      <c r="F39" s="26"/>
    </row>
    <row r="40" spans="1:6" s="2" customFormat="1" ht="42" customHeight="1">
      <c r="A40" s="86" t="s">
        <v>33</v>
      </c>
      <c r="B40" s="34">
        <f t="shared" si="0"/>
        <v>32.181</v>
      </c>
      <c r="C40" s="17">
        <f>C41+C42</f>
        <v>0.865</v>
      </c>
      <c r="D40" s="23"/>
      <c r="E40" s="17">
        <f>E41+E42</f>
        <v>31.316</v>
      </c>
      <c r="F40" s="18"/>
    </row>
    <row r="41" spans="1:6" s="2" customFormat="1" ht="19.5" customHeight="1">
      <c r="A41" s="36" t="s">
        <v>18</v>
      </c>
      <c r="B41" s="34">
        <f t="shared" si="0"/>
        <v>32.181</v>
      </c>
      <c r="C41" s="8">
        <v>0.865</v>
      </c>
      <c r="D41" s="8"/>
      <c r="E41" s="8">
        <v>31.316</v>
      </c>
      <c r="F41" s="9"/>
    </row>
    <row r="42" spans="1:6" s="2" customFormat="1" ht="19.5" customHeight="1">
      <c r="A42" s="36" t="s">
        <v>15</v>
      </c>
      <c r="B42" s="34">
        <f t="shared" si="0"/>
        <v>0</v>
      </c>
      <c r="C42" s="8"/>
      <c r="D42" s="8"/>
      <c r="E42" s="17"/>
      <c r="F42" s="18"/>
    </row>
    <row r="43" spans="1:6" s="2" customFormat="1" ht="19.5" customHeight="1">
      <c r="A43" s="36" t="s">
        <v>16</v>
      </c>
      <c r="B43" s="34">
        <f t="shared" si="0"/>
        <v>0</v>
      </c>
      <c r="C43" s="23"/>
      <c r="D43" s="23"/>
      <c r="E43" s="23"/>
      <c r="F43" s="26"/>
    </row>
    <row r="44" spans="1:6" s="2" customFormat="1" ht="19.5" customHeight="1">
      <c r="A44" s="36" t="s">
        <v>17</v>
      </c>
      <c r="B44" s="34">
        <f t="shared" si="0"/>
        <v>0</v>
      </c>
      <c r="C44" s="23"/>
      <c r="D44" s="23"/>
      <c r="E44" s="23"/>
      <c r="F44" s="26"/>
    </row>
    <row r="45" spans="1:6" s="2" customFormat="1" ht="24.75" customHeight="1">
      <c r="A45" s="86" t="s">
        <v>10</v>
      </c>
      <c r="B45" s="34">
        <f t="shared" si="0"/>
        <v>827.057</v>
      </c>
      <c r="C45" s="17">
        <f>C46+C47</f>
        <v>0</v>
      </c>
      <c r="D45" s="8"/>
      <c r="E45" s="17">
        <f>E46+E47</f>
        <v>400.08099999999996</v>
      </c>
      <c r="F45" s="18">
        <f>F46+F47</f>
        <v>426.976</v>
      </c>
    </row>
    <row r="46" spans="1:6" s="2" customFormat="1" ht="24.75" customHeight="1">
      <c r="A46" s="36" t="s">
        <v>18</v>
      </c>
      <c r="B46" s="34">
        <f t="shared" si="0"/>
        <v>468.945</v>
      </c>
      <c r="C46" s="8"/>
      <c r="D46" s="8"/>
      <c r="E46" s="17">
        <v>380.835</v>
      </c>
      <c r="F46" s="18">
        <v>88.11</v>
      </c>
    </row>
    <row r="47" spans="1:6" s="2" customFormat="1" ht="24.75" customHeight="1">
      <c r="A47" s="36" t="s">
        <v>15</v>
      </c>
      <c r="B47" s="34">
        <f t="shared" si="0"/>
        <v>358.11199999999997</v>
      </c>
      <c r="C47" s="8"/>
      <c r="D47" s="8"/>
      <c r="E47" s="17">
        <f>E48+E49</f>
        <v>19.246000000000002</v>
      </c>
      <c r="F47" s="18">
        <f>F48+F49</f>
        <v>338.866</v>
      </c>
    </row>
    <row r="48" spans="1:6" s="2" customFormat="1" ht="24.75" customHeight="1">
      <c r="A48" s="36" t="s">
        <v>16</v>
      </c>
      <c r="B48" s="34">
        <f t="shared" si="0"/>
        <v>275.14599999999996</v>
      </c>
      <c r="C48" s="8"/>
      <c r="D48" s="8"/>
      <c r="E48" s="11">
        <v>17.902</v>
      </c>
      <c r="F48" s="12">
        <f>238.184+19.06</f>
        <v>257.24399999999997</v>
      </c>
    </row>
    <row r="49" spans="1:6" s="2" customFormat="1" ht="24.75" customHeight="1">
      <c r="A49" s="36" t="s">
        <v>17</v>
      </c>
      <c r="B49" s="34">
        <f t="shared" si="0"/>
        <v>82.966</v>
      </c>
      <c r="C49" s="8"/>
      <c r="D49" s="8"/>
      <c r="E49" s="11">
        <v>1.344</v>
      </c>
      <c r="F49" s="12">
        <v>81.622</v>
      </c>
    </row>
    <row r="50" spans="1:6" s="2" customFormat="1" ht="24.75" customHeight="1">
      <c r="A50" s="86" t="s">
        <v>5</v>
      </c>
      <c r="B50" s="34">
        <f t="shared" si="0"/>
        <v>2056.2380000000003</v>
      </c>
      <c r="C50" s="17">
        <f>C51+C52</f>
        <v>337.429</v>
      </c>
      <c r="D50" s="8"/>
      <c r="E50" s="17">
        <f>E51+E52</f>
        <v>960.674</v>
      </c>
      <c r="F50" s="18">
        <f>F51+F52</f>
        <v>758.135</v>
      </c>
    </row>
    <row r="51" spans="1:6" s="2" customFormat="1" ht="24.75" customHeight="1">
      <c r="A51" s="36" t="s">
        <v>18</v>
      </c>
      <c r="B51" s="34">
        <f t="shared" si="0"/>
        <v>1159.3780000000002</v>
      </c>
      <c r="C51" s="17">
        <v>337.429</v>
      </c>
      <c r="D51" s="8"/>
      <c r="E51" s="17">
        <v>492.012</v>
      </c>
      <c r="F51" s="18">
        <v>329.937</v>
      </c>
    </row>
    <row r="52" spans="1:6" s="2" customFormat="1" ht="24.75" customHeight="1">
      <c r="A52" s="36" t="s">
        <v>15</v>
      </c>
      <c r="B52" s="34">
        <f t="shared" si="0"/>
        <v>896.8599999999999</v>
      </c>
      <c r="C52" s="8"/>
      <c r="D52" s="8"/>
      <c r="E52" s="17">
        <f>E53+E54</f>
        <v>468.662</v>
      </c>
      <c r="F52" s="18">
        <f>F53+F54</f>
        <v>428.198</v>
      </c>
    </row>
    <row r="53" spans="1:6" s="2" customFormat="1" ht="24.75" customHeight="1">
      <c r="A53" s="36" t="s">
        <v>16</v>
      </c>
      <c r="B53" s="34">
        <f t="shared" si="0"/>
        <v>894.22</v>
      </c>
      <c r="C53" s="11"/>
      <c r="D53" s="11"/>
      <c r="E53" s="11">
        <f>414.948+51.074</f>
        <v>466.022</v>
      </c>
      <c r="F53" s="12">
        <f>408.674+19.524</f>
        <v>428.198</v>
      </c>
    </row>
    <row r="54" spans="1:6" s="2" customFormat="1" ht="24.75" customHeight="1">
      <c r="A54" s="36" t="s">
        <v>17</v>
      </c>
      <c r="B54" s="34">
        <f t="shared" si="0"/>
        <v>2.64</v>
      </c>
      <c r="C54" s="11"/>
      <c r="D54" s="11"/>
      <c r="E54" s="11">
        <v>2.64</v>
      </c>
      <c r="F54" s="12"/>
    </row>
    <row r="55" spans="1:6" s="2" customFormat="1" ht="50.25" customHeight="1">
      <c r="A55" s="86" t="s">
        <v>11</v>
      </c>
      <c r="B55" s="34">
        <f t="shared" si="0"/>
        <v>5041.468</v>
      </c>
      <c r="C55" s="17"/>
      <c r="D55" s="8"/>
      <c r="E55" s="17">
        <f>E56+E57</f>
        <v>1204.0159999999998</v>
      </c>
      <c r="F55" s="18">
        <f>F56+F57</f>
        <v>3837.452</v>
      </c>
    </row>
    <row r="56" spans="1:6" s="2" customFormat="1" ht="26.25" customHeight="1">
      <c r="A56" s="36" t="s">
        <v>18</v>
      </c>
      <c r="B56" s="34">
        <f t="shared" si="0"/>
        <v>2349.24</v>
      </c>
      <c r="C56" s="8"/>
      <c r="D56" s="8"/>
      <c r="E56" s="17">
        <v>1066.877</v>
      </c>
      <c r="F56" s="18">
        <v>1282.363</v>
      </c>
    </row>
    <row r="57" spans="1:6" s="2" customFormat="1" ht="26.25" customHeight="1">
      <c r="A57" s="36" t="s">
        <v>15</v>
      </c>
      <c r="B57" s="34">
        <f t="shared" si="0"/>
        <v>2692.228</v>
      </c>
      <c r="C57" s="8"/>
      <c r="D57" s="8"/>
      <c r="E57" s="17">
        <f>E58+E59</f>
        <v>137.13899999999998</v>
      </c>
      <c r="F57" s="18">
        <f>F58+F59</f>
        <v>2555.089</v>
      </c>
    </row>
    <row r="58" spans="1:6" s="2" customFormat="1" ht="26.25" customHeight="1">
      <c r="A58" s="36" t="s">
        <v>16</v>
      </c>
      <c r="B58" s="34">
        <f t="shared" si="0"/>
        <v>597.801</v>
      </c>
      <c r="C58" s="10"/>
      <c r="D58" s="8"/>
      <c r="E58" s="11">
        <v>26.322</v>
      </c>
      <c r="F58" s="12">
        <v>571.479</v>
      </c>
    </row>
    <row r="59" spans="1:6" s="2" customFormat="1" ht="26.25" customHeight="1">
      <c r="A59" s="36" t="s">
        <v>17</v>
      </c>
      <c r="B59" s="34">
        <f t="shared" si="0"/>
        <v>2094.4269999999997</v>
      </c>
      <c r="C59" s="10"/>
      <c r="D59" s="8"/>
      <c r="E59" s="11">
        <v>110.817</v>
      </c>
      <c r="F59" s="12">
        <v>1983.61</v>
      </c>
    </row>
    <row r="60" spans="1:6" s="2" customFormat="1" ht="24.75" customHeight="1">
      <c r="A60" s="87" t="s">
        <v>39</v>
      </c>
      <c r="B60" s="34">
        <f t="shared" si="0"/>
        <v>128.946</v>
      </c>
      <c r="C60" s="10"/>
      <c r="D60" s="8"/>
      <c r="E60" s="8">
        <f>E61+E62</f>
        <v>64.746</v>
      </c>
      <c r="F60" s="9">
        <f>F61+F62</f>
        <v>64.2</v>
      </c>
    </row>
    <row r="61" spans="1:6" s="2" customFormat="1" ht="21.75" customHeight="1">
      <c r="A61" s="36" t="s">
        <v>18</v>
      </c>
      <c r="B61" s="34">
        <f t="shared" si="0"/>
        <v>128.946</v>
      </c>
      <c r="C61" s="8"/>
      <c r="D61" s="8"/>
      <c r="E61" s="17">
        <v>64.746</v>
      </c>
      <c r="F61" s="18">
        <v>64.2</v>
      </c>
    </row>
    <row r="62" spans="1:6" s="2" customFormat="1" ht="16.5" customHeight="1">
      <c r="A62" s="36" t="s">
        <v>15</v>
      </c>
      <c r="B62" s="34">
        <f t="shared" si="0"/>
        <v>0</v>
      </c>
      <c r="C62" s="8"/>
      <c r="D62" s="8"/>
      <c r="E62" s="17">
        <f>E63+E64</f>
        <v>0</v>
      </c>
      <c r="F62" s="18">
        <f>F63+F64</f>
        <v>0</v>
      </c>
    </row>
    <row r="63" spans="1:6" s="2" customFormat="1" ht="18" customHeight="1">
      <c r="A63" s="36" t="s">
        <v>16</v>
      </c>
      <c r="B63" s="34">
        <f t="shared" si="0"/>
        <v>0</v>
      </c>
      <c r="C63" s="10"/>
      <c r="D63" s="8"/>
      <c r="E63" s="10"/>
      <c r="F63" s="19"/>
    </row>
    <row r="64" spans="1:6" s="2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</row>
    <row r="65" spans="1:6" s="2" customFormat="1" ht="24.75" customHeight="1">
      <c r="A65" s="87" t="s">
        <v>4</v>
      </c>
      <c r="B65" s="34">
        <f t="shared" si="0"/>
        <v>677.977</v>
      </c>
      <c r="C65" s="17">
        <f>C66+C67</f>
        <v>677.977</v>
      </c>
      <c r="D65" s="8"/>
      <c r="E65" s="8"/>
      <c r="F65" s="9"/>
    </row>
    <row r="66" spans="1:6" s="2" customFormat="1" ht="21.75" customHeight="1">
      <c r="A66" s="36" t="s">
        <v>18</v>
      </c>
      <c r="B66" s="34">
        <f t="shared" si="0"/>
        <v>677.977</v>
      </c>
      <c r="C66" s="17">
        <v>677.977</v>
      </c>
      <c r="D66" s="8"/>
      <c r="E66" s="17">
        <f>E65-E67</f>
        <v>0</v>
      </c>
      <c r="F66" s="18">
        <f>F65-F67</f>
        <v>0</v>
      </c>
    </row>
    <row r="67" spans="1:6" s="2" customFormat="1" ht="18" customHeight="1">
      <c r="A67" s="36" t="s">
        <v>15</v>
      </c>
      <c r="B67" s="34">
        <f t="shared" si="0"/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</row>
    <row r="68" spans="1:6" s="2" customFormat="1" ht="19.5" customHeight="1">
      <c r="A68" s="36" t="s">
        <v>16</v>
      </c>
      <c r="B68" s="34">
        <f t="shared" si="0"/>
        <v>0</v>
      </c>
      <c r="C68" s="11"/>
      <c r="D68" s="8"/>
      <c r="E68" s="8"/>
      <c r="F68" s="9"/>
    </row>
    <row r="69" spans="1:6" s="2" customFormat="1" ht="19.5" customHeight="1" thickBot="1">
      <c r="A69" s="37" t="s">
        <v>17</v>
      </c>
      <c r="B69" s="35">
        <f t="shared" si="0"/>
        <v>0</v>
      </c>
      <c r="C69" s="16"/>
      <c r="D69" s="15"/>
      <c r="E69" s="15"/>
      <c r="F69" s="20"/>
    </row>
    <row r="70" spans="1:6" s="70" customFormat="1" ht="23.25" customHeight="1">
      <c r="A70" s="140" t="s">
        <v>26</v>
      </c>
      <c r="B70" s="95">
        <f>C70+D70+E70+F70</f>
        <v>170.388</v>
      </c>
      <c r="C70" s="45"/>
      <c r="D70" s="45"/>
      <c r="E70" s="46">
        <v>170.388</v>
      </c>
      <c r="F70" s="47"/>
    </row>
    <row r="71" spans="1:6" s="70" customFormat="1" ht="23.25" customHeight="1">
      <c r="A71" s="54" t="s">
        <v>27</v>
      </c>
      <c r="B71" s="5">
        <f aca="true" t="shared" si="1" ref="B71:B78">C71+D71+E71+F71</f>
        <v>19.599</v>
      </c>
      <c r="C71" s="48"/>
      <c r="D71" s="48"/>
      <c r="E71" s="49">
        <v>19.599</v>
      </c>
      <c r="F71" s="50"/>
    </row>
    <row r="72" spans="1:6" s="70" customFormat="1" ht="23.25" customHeight="1">
      <c r="A72" s="54" t="s">
        <v>34</v>
      </c>
      <c r="B72" s="5">
        <f t="shared" si="1"/>
        <v>554.0989999999999</v>
      </c>
      <c r="C72" s="48"/>
      <c r="D72" s="48"/>
      <c r="E72" s="49">
        <v>491.215</v>
      </c>
      <c r="F72" s="51">
        <v>62.884</v>
      </c>
    </row>
    <row r="73" spans="1:6" s="70" customFormat="1" ht="23.25" customHeight="1">
      <c r="A73" s="62" t="s">
        <v>35</v>
      </c>
      <c r="B73" s="5">
        <f t="shared" si="1"/>
        <v>1265.65</v>
      </c>
      <c r="C73" s="52">
        <v>1255.4</v>
      </c>
      <c r="D73" s="52"/>
      <c r="E73" s="52"/>
      <c r="F73" s="53">
        <v>10.25</v>
      </c>
    </row>
    <row r="74" spans="1:6" s="70" customFormat="1" ht="23.25" customHeight="1">
      <c r="A74" s="54" t="s">
        <v>28</v>
      </c>
      <c r="B74" s="5">
        <f t="shared" si="1"/>
        <v>674.8380000000001</v>
      </c>
      <c r="C74" s="10">
        <v>459.642</v>
      </c>
      <c r="D74" s="10"/>
      <c r="E74" s="10">
        <v>169.496</v>
      </c>
      <c r="F74" s="19">
        <v>45.7</v>
      </c>
    </row>
    <row r="75" spans="1:6" s="70" customFormat="1" ht="33" customHeight="1">
      <c r="A75" s="62" t="s">
        <v>29</v>
      </c>
      <c r="B75" s="104">
        <f t="shared" si="1"/>
        <v>372.024</v>
      </c>
      <c r="C75" s="58"/>
      <c r="D75" s="58"/>
      <c r="E75" s="58">
        <v>372.024</v>
      </c>
      <c r="F75" s="59"/>
    </row>
    <row r="76" spans="1:6" s="70" customFormat="1" ht="38.25" customHeight="1">
      <c r="A76" s="105" t="s">
        <v>30</v>
      </c>
      <c r="B76" s="104">
        <f t="shared" si="1"/>
        <v>44.087</v>
      </c>
      <c r="C76" s="58"/>
      <c r="D76" s="58"/>
      <c r="E76" s="58"/>
      <c r="F76" s="59">
        <v>44.087</v>
      </c>
    </row>
    <row r="77" spans="1:6" s="3" customFormat="1" ht="42" customHeight="1" thickBot="1">
      <c r="A77" s="106" t="s">
        <v>31</v>
      </c>
      <c r="B77" s="107">
        <f t="shared" si="1"/>
        <v>218.52700000000002</v>
      </c>
      <c r="C77" s="63"/>
      <c r="D77" s="63"/>
      <c r="E77" s="63">
        <v>10.68</v>
      </c>
      <c r="F77" s="64">
        <v>207.847</v>
      </c>
    </row>
    <row r="78" spans="1:6" s="3" customFormat="1" ht="18.75" thickBot="1">
      <c r="A78" s="110" t="s">
        <v>40</v>
      </c>
      <c r="B78" s="88">
        <f t="shared" si="1"/>
        <v>101056.35699999997</v>
      </c>
      <c r="C78" s="89">
        <f>C5+C10+C15+C20+C25+C30+C35+C40+C45+C50+C55+C60+C65+C70+C71+C72+C73+C74+C75+C76+C77</f>
        <v>44242.81299999999</v>
      </c>
      <c r="D78" s="89">
        <f>D5+D10+D15+D20+D25+D30+D35+D40+D45+D50+D55+D60+D65+D70+D71+D72+D73+D74+D75+D76+D77</f>
        <v>1164.433</v>
      </c>
      <c r="E78" s="89">
        <f>E5+E10+E15+E20+E25+E30+E35+E40+E45+E50+E55+E60+E65+E70+E71+E72+E73+E74+E75+E76+E77</f>
        <v>23230.269999999993</v>
      </c>
      <c r="F78" s="89">
        <f>F5+F10+F15+F20+F25+F30+F35+F40+F45+F50+F55+F60+F65+F70+F71+F72+F73+F74+F75+F76+F77</f>
        <v>32418.841</v>
      </c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1" sqref="E71"/>
    </sheetView>
  </sheetViews>
  <sheetFormatPr defaultColWidth="9.00390625" defaultRowHeight="12.75"/>
  <cols>
    <col min="1" max="1" width="58.37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19.37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50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24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45.75" customHeight="1">
      <c r="A5" s="82" t="s">
        <v>7</v>
      </c>
      <c r="B5" s="114">
        <f aca="true" t="shared" si="0" ref="B5:B69">C5+D5+E5+F5</f>
        <v>70460.838</v>
      </c>
      <c r="C5" s="115">
        <f>C6+C7</f>
        <v>33397.187</v>
      </c>
      <c r="D5" s="115">
        <f>D6+D7</f>
        <v>1114.82</v>
      </c>
      <c r="E5" s="115">
        <f>E6+E7</f>
        <v>15438.516</v>
      </c>
      <c r="F5" s="116">
        <f>F6+F7</f>
        <v>20510.315000000002</v>
      </c>
    </row>
    <row r="6" spans="1:6" s="2" customFormat="1" ht="27" customHeight="1">
      <c r="A6" s="36" t="s">
        <v>18</v>
      </c>
      <c r="B6" s="34">
        <f t="shared" si="0"/>
        <v>56070.886</v>
      </c>
      <c r="C6" s="8">
        <v>33141.53</v>
      </c>
      <c r="D6" s="8">
        <v>1113.71</v>
      </c>
      <c r="E6" s="8">
        <v>14683.112</v>
      </c>
      <c r="F6" s="9">
        <v>7132.534</v>
      </c>
    </row>
    <row r="7" spans="1:6" s="2" customFormat="1" ht="20.25" customHeight="1">
      <c r="A7" s="36" t="s">
        <v>15</v>
      </c>
      <c r="B7" s="34">
        <f t="shared" si="0"/>
        <v>14389.952000000001</v>
      </c>
      <c r="C7" s="8">
        <f>C8+C9</f>
        <v>255.657</v>
      </c>
      <c r="D7" s="17">
        <f>D8+D9</f>
        <v>1.11</v>
      </c>
      <c r="E7" s="17">
        <f>E8+E9</f>
        <v>755.404</v>
      </c>
      <c r="F7" s="18">
        <f>F8+F9</f>
        <v>13377.781</v>
      </c>
    </row>
    <row r="8" spans="1:6" s="2" customFormat="1" ht="21.75" customHeight="1">
      <c r="A8" s="36" t="s">
        <v>16</v>
      </c>
      <c r="B8" s="34">
        <f t="shared" si="0"/>
        <v>3992.957</v>
      </c>
      <c r="C8" s="11">
        <v>50.083</v>
      </c>
      <c r="D8" s="11"/>
      <c r="E8" s="11">
        <v>65.328</v>
      </c>
      <c r="F8" s="12">
        <v>3877.546</v>
      </c>
    </row>
    <row r="9" spans="1:6" s="2" customFormat="1" ht="24.75" customHeight="1">
      <c r="A9" s="36" t="s">
        <v>17</v>
      </c>
      <c r="B9" s="34">
        <f t="shared" si="0"/>
        <v>10396.995</v>
      </c>
      <c r="C9" s="11">
        <v>205.574</v>
      </c>
      <c r="D9" s="11">
        <v>1.11</v>
      </c>
      <c r="E9" s="11">
        <v>690.076</v>
      </c>
      <c r="F9" s="12">
        <v>9500.235</v>
      </c>
    </row>
    <row r="10" spans="1:6" s="2" customFormat="1" ht="34.5" customHeight="1">
      <c r="A10" s="86" t="s">
        <v>13</v>
      </c>
      <c r="B10" s="34">
        <f t="shared" si="0"/>
        <v>4388.827</v>
      </c>
      <c r="C10" s="17">
        <f>C11+C12</f>
        <v>595.44</v>
      </c>
      <c r="D10" s="17"/>
      <c r="E10" s="17">
        <f>E11+E12</f>
        <v>1472.919</v>
      </c>
      <c r="F10" s="18">
        <f>F11+F12</f>
        <v>2320.468</v>
      </c>
    </row>
    <row r="11" spans="1:6" s="2" customFormat="1" ht="21.75" customHeight="1">
      <c r="A11" s="36" t="s">
        <v>18</v>
      </c>
      <c r="B11" s="34">
        <f t="shared" si="0"/>
        <v>2683.529</v>
      </c>
      <c r="C11" s="8">
        <v>539.505</v>
      </c>
      <c r="D11" s="8"/>
      <c r="E11" s="8">
        <v>1239.515</v>
      </c>
      <c r="F11" s="9">
        <v>904.509</v>
      </c>
    </row>
    <row r="12" spans="1:6" s="2" customFormat="1" ht="19.5" customHeight="1">
      <c r="A12" s="36" t="s">
        <v>15</v>
      </c>
      <c r="B12" s="34">
        <f t="shared" si="0"/>
        <v>1705.298</v>
      </c>
      <c r="C12" s="17">
        <f>C13+C14</f>
        <v>55.935</v>
      </c>
      <c r="D12" s="8"/>
      <c r="E12" s="17">
        <f>E13+E14</f>
        <v>233.404</v>
      </c>
      <c r="F12" s="18">
        <f>F13+F14</f>
        <v>1415.959</v>
      </c>
    </row>
    <row r="13" spans="1:6" s="2" customFormat="1" ht="17.25" customHeight="1">
      <c r="A13" s="36" t="s">
        <v>16</v>
      </c>
      <c r="B13" s="34">
        <f t="shared" si="0"/>
        <v>1018.116</v>
      </c>
      <c r="C13" s="11"/>
      <c r="D13" s="11"/>
      <c r="E13" s="11">
        <v>40.776</v>
      </c>
      <c r="F13" s="12">
        <v>977.34</v>
      </c>
    </row>
    <row r="14" spans="1:6" s="2" customFormat="1" ht="17.25" customHeight="1">
      <c r="A14" s="36" t="s">
        <v>17</v>
      </c>
      <c r="B14" s="34">
        <f t="shared" si="0"/>
        <v>687.182</v>
      </c>
      <c r="C14" s="11">
        <v>55.935</v>
      </c>
      <c r="D14" s="11"/>
      <c r="E14" s="11">
        <v>192.628</v>
      </c>
      <c r="F14" s="12">
        <v>438.619</v>
      </c>
    </row>
    <row r="15" spans="1:6" s="2" customFormat="1" ht="35.25" customHeight="1">
      <c r="A15" s="86" t="s">
        <v>6</v>
      </c>
      <c r="B15" s="34">
        <f t="shared" si="0"/>
        <v>1082.8400000000001</v>
      </c>
      <c r="C15" s="17">
        <f>C16+C17</f>
        <v>1082.8400000000001</v>
      </c>
      <c r="D15" s="8"/>
      <c r="E15" s="8"/>
      <c r="F15" s="9"/>
    </row>
    <row r="16" spans="1:6" s="2" customFormat="1" ht="19.5" customHeight="1">
      <c r="A16" s="36" t="s">
        <v>18</v>
      </c>
      <c r="B16" s="34">
        <f t="shared" si="0"/>
        <v>1082.582</v>
      </c>
      <c r="C16" s="8">
        <v>1082.582</v>
      </c>
      <c r="D16" s="8"/>
      <c r="E16" s="17"/>
      <c r="F16" s="18"/>
    </row>
    <row r="17" spans="1:6" s="2" customFormat="1" ht="18" customHeight="1">
      <c r="A17" s="36" t="s">
        <v>15</v>
      </c>
      <c r="B17" s="34">
        <f t="shared" si="0"/>
        <v>0.258</v>
      </c>
      <c r="C17" s="17">
        <f>C18+C19</f>
        <v>0.258</v>
      </c>
      <c r="D17" s="8"/>
      <c r="E17" s="17"/>
      <c r="F17" s="18"/>
    </row>
    <row r="18" spans="1:6" s="2" customFormat="1" ht="19.5" customHeight="1">
      <c r="A18" s="36" t="s">
        <v>16</v>
      </c>
      <c r="B18" s="34">
        <f t="shared" si="0"/>
        <v>0.258</v>
      </c>
      <c r="C18" s="11">
        <v>0.258</v>
      </c>
      <c r="D18" s="11"/>
      <c r="E18" s="11"/>
      <c r="F18" s="12"/>
    </row>
    <row r="19" spans="1:6" s="2" customFormat="1" ht="19.5" customHeight="1">
      <c r="A19" s="36" t="s">
        <v>17</v>
      </c>
      <c r="B19" s="34">
        <f t="shared" si="0"/>
        <v>0</v>
      </c>
      <c r="C19" s="11"/>
      <c r="D19" s="11"/>
      <c r="E19" s="11"/>
      <c r="F19" s="12"/>
    </row>
    <row r="20" spans="1:6" s="2" customFormat="1" ht="36" customHeight="1">
      <c r="A20" s="86" t="s">
        <v>36</v>
      </c>
      <c r="B20" s="34">
        <f t="shared" si="0"/>
        <v>141.66000000000003</v>
      </c>
      <c r="C20" s="17">
        <f>C21+C22</f>
        <v>7.113</v>
      </c>
      <c r="D20" s="17">
        <f>D21+D22</f>
        <v>34.779</v>
      </c>
      <c r="E20" s="17">
        <f>E21+E22</f>
        <v>32.14</v>
      </c>
      <c r="F20" s="18">
        <f>F21+F22</f>
        <v>67.628</v>
      </c>
    </row>
    <row r="21" spans="1:6" s="2" customFormat="1" ht="21.75" customHeight="1">
      <c r="A21" s="36" t="s">
        <v>18</v>
      </c>
      <c r="B21" s="34">
        <f t="shared" si="0"/>
        <v>126.14000000000001</v>
      </c>
      <c r="C21" s="8">
        <v>7.113</v>
      </c>
      <c r="D21" s="8">
        <v>34.779</v>
      </c>
      <c r="E21" s="8">
        <v>32.14</v>
      </c>
      <c r="F21" s="9">
        <v>52.108</v>
      </c>
    </row>
    <row r="22" spans="1:6" s="2" customFormat="1" ht="21" customHeight="1">
      <c r="A22" s="36" t="s">
        <v>15</v>
      </c>
      <c r="B22" s="34">
        <f t="shared" si="0"/>
        <v>15.52</v>
      </c>
      <c r="C22" s="8"/>
      <c r="D22" s="8"/>
      <c r="E22" s="17">
        <f>E23+E24</f>
        <v>0</v>
      </c>
      <c r="F22" s="18">
        <f>F23+F24</f>
        <v>15.52</v>
      </c>
    </row>
    <row r="23" spans="1:6" s="2" customFormat="1" ht="21.75" customHeight="1">
      <c r="A23" s="36" t="s">
        <v>16</v>
      </c>
      <c r="B23" s="34">
        <f t="shared" si="0"/>
        <v>15.52</v>
      </c>
      <c r="C23" s="11"/>
      <c r="D23" s="11"/>
      <c r="E23" s="11"/>
      <c r="F23" s="12">
        <v>15.52</v>
      </c>
    </row>
    <row r="24" spans="1:6" s="2" customFormat="1" ht="21" customHeight="1">
      <c r="A24" s="36" t="s">
        <v>17</v>
      </c>
      <c r="B24" s="34">
        <f t="shared" si="0"/>
        <v>0</v>
      </c>
      <c r="C24" s="11"/>
      <c r="D24" s="11"/>
      <c r="E24" s="11"/>
      <c r="F24" s="12"/>
    </row>
    <row r="25" spans="1:6" s="2" customFormat="1" ht="41.25" customHeight="1">
      <c r="A25" s="86" t="s">
        <v>8</v>
      </c>
      <c r="B25" s="34">
        <f t="shared" si="0"/>
        <v>11418.883</v>
      </c>
      <c r="C25" s="17">
        <f>C26+C27</f>
        <v>6817.3</v>
      </c>
      <c r="D25" s="17"/>
      <c r="E25" s="17">
        <f>E26+E27</f>
        <v>1635.182</v>
      </c>
      <c r="F25" s="18">
        <f>F26+F27</f>
        <v>2966.401</v>
      </c>
    </row>
    <row r="26" spans="1:6" s="2" customFormat="1" ht="19.5" customHeight="1">
      <c r="A26" s="36" t="s">
        <v>18</v>
      </c>
      <c r="B26" s="34">
        <f t="shared" si="0"/>
        <v>9333.875</v>
      </c>
      <c r="C26" s="8">
        <v>6817.3</v>
      </c>
      <c r="D26" s="8"/>
      <c r="E26" s="17">
        <v>1592.469</v>
      </c>
      <c r="F26" s="18">
        <v>924.106</v>
      </c>
    </row>
    <row r="27" spans="1:6" s="2" customFormat="1" ht="24.75" customHeight="1">
      <c r="A27" s="36" t="s">
        <v>15</v>
      </c>
      <c r="B27" s="34">
        <f t="shared" si="0"/>
        <v>2085.0080000000003</v>
      </c>
      <c r="C27" s="8"/>
      <c r="D27" s="8"/>
      <c r="E27" s="17">
        <f>E28+E29</f>
        <v>42.713</v>
      </c>
      <c r="F27" s="18">
        <f>F28+F29</f>
        <v>2042.295</v>
      </c>
    </row>
    <row r="28" spans="1:6" s="2" customFormat="1" ht="25.5" customHeight="1">
      <c r="A28" s="36" t="s">
        <v>16</v>
      </c>
      <c r="B28" s="34">
        <f t="shared" si="0"/>
        <v>2057.63</v>
      </c>
      <c r="C28" s="11"/>
      <c r="D28" s="11"/>
      <c r="E28" s="11">
        <v>42.713</v>
      </c>
      <c r="F28" s="12">
        <f>1957.883+57.034</f>
        <v>2014.9170000000001</v>
      </c>
    </row>
    <row r="29" spans="1:6" s="2" customFormat="1" ht="20.25" customHeight="1">
      <c r="A29" s="36" t="s">
        <v>17</v>
      </c>
      <c r="B29" s="34">
        <f t="shared" si="0"/>
        <v>27.378</v>
      </c>
      <c r="C29" s="11"/>
      <c r="D29" s="11"/>
      <c r="E29" s="11"/>
      <c r="F29" s="12">
        <v>27.378</v>
      </c>
    </row>
    <row r="30" spans="1:9" s="2" customFormat="1" ht="50.25" customHeight="1">
      <c r="A30" s="86" t="s">
        <v>9</v>
      </c>
      <c r="B30" s="34">
        <f t="shared" si="0"/>
        <v>103.36600000000001</v>
      </c>
      <c r="C30" s="17"/>
      <c r="D30" s="17"/>
      <c r="E30" s="17">
        <f>E31+E32</f>
        <v>75.305</v>
      </c>
      <c r="F30" s="18">
        <f>F31+F32</f>
        <v>28.061</v>
      </c>
      <c r="H30" s="32"/>
      <c r="I30" s="32"/>
    </row>
    <row r="31" spans="1:9" s="2" customFormat="1" ht="22.5" customHeight="1">
      <c r="A31" s="36" t="s">
        <v>18</v>
      </c>
      <c r="B31" s="34">
        <f t="shared" si="0"/>
        <v>85.156</v>
      </c>
      <c r="C31" s="8"/>
      <c r="D31" s="8"/>
      <c r="E31" s="17">
        <v>75.305</v>
      </c>
      <c r="F31" s="18">
        <v>9.851</v>
      </c>
      <c r="H31" s="32"/>
      <c r="I31" s="32"/>
    </row>
    <row r="32" spans="1:9" s="2" customFormat="1" ht="24.75" customHeight="1">
      <c r="A32" s="36" t="s">
        <v>15</v>
      </c>
      <c r="B32" s="34">
        <f t="shared" si="0"/>
        <v>18.21</v>
      </c>
      <c r="C32" s="8"/>
      <c r="D32" s="8"/>
      <c r="E32" s="17">
        <f>E33+E34</f>
        <v>0</v>
      </c>
      <c r="F32" s="18">
        <f>F33+F34</f>
        <v>18.21</v>
      </c>
      <c r="H32" s="68"/>
      <c r="I32" s="68"/>
    </row>
    <row r="33" spans="1:9" s="2" customFormat="1" ht="18" customHeight="1">
      <c r="A33" s="36" t="s">
        <v>16</v>
      </c>
      <c r="B33" s="34">
        <f t="shared" si="0"/>
        <v>13.286</v>
      </c>
      <c r="C33" s="11"/>
      <c r="D33" s="11"/>
      <c r="E33" s="11"/>
      <c r="F33" s="12">
        <v>13.286</v>
      </c>
      <c r="H33" s="68"/>
      <c r="I33" s="68"/>
    </row>
    <row r="34" spans="1:6" s="2" customFormat="1" ht="18" customHeight="1">
      <c r="A34" s="36" t="s">
        <v>17</v>
      </c>
      <c r="B34" s="34">
        <f t="shared" si="0"/>
        <v>4.924</v>
      </c>
      <c r="C34" s="11"/>
      <c r="D34" s="11"/>
      <c r="E34" s="11"/>
      <c r="F34" s="12">
        <v>4.924</v>
      </c>
    </row>
    <row r="35" spans="1:6" s="2" customFormat="1" ht="25.5" customHeight="1">
      <c r="A35" s="86" t="s">
        <v>32</v>
      </c>
      <c r="B35" s="34">
        <f t="shared" si="0"/>
        <v>54.17</v>
      </c>
      <c r="C35" s="17">
        <f>C36+C37</f>
        <v>54.17</v>
      </c>
      <c r="D35" s="23"/>
      <c r="E35" s="17">
        <f>E36+E37</f>
        <v>0</v>
      </c>
      <c r="F35" s="18">
        <f>F36+F37</f>
        <v>0</v>
      </c>
    </row>
    <row r="36" spans="1:6" s="2" customFormat="1" ht="23.25" customHeight="1">
      <c r="A36" s="36" t="s">
        <v>18</v>
      </c>
      <c r="B36" s="34">
        <f t="shared" si="0"/>
        <v>54.17</v>
      </c>
      <c r="C36" s="8">
        <v>54.17</v>
      </c>
      <c r="D36" s="8"/>
      <c r="E36" s="8"/>
      <c r="F36" s="9"/>
    </row>
    <row r="37" spans="1:6" s="2" customFormat="1" ht="23.25" customHeight="1">
      <c r="A37" s="36" t="s">
        <v>15</v>
      </c>
      <c r="B37" s="34">
        <f t="shared" si="0"/>
        <v>0</v>
      </c>
      <c r="C37" s="17">
        <f>C38+C39</f>
        <v>0</v>
      </c>
      <c r="D37" s="8"/>
      <c r="E37" s="17"/>
      <c r="F37" s="18"/>
    </row>
    <row r="38" spans="1:6" s="2" customFormat="1" ht="23.25" customHeight="1">
      <c r="A38" s="36" t="s">
        <v>16</v>
      </c>
      <c r="B38" s="34">
        <f t="shared" si="0"/>
        <v>0</v>
      </c>
      <c r="C38" s="23"/>
      <c r="D38" s="23"/>
      <c r="E38" s="23"/>
      <c r="F38" s="26"/>
    </row>
    <row r="39" spans="1:6" s="2" customFormat="1" ht="23.25" customHeight="1">
      <c r="A39" s="36" t="s">
        <v>17</v>
      </c>
      <c r="B39" s="34">
        <f t="shared" si="0"/>
        <v>0</v>
      </c>
      <c r="C39" s="23"/>
      <c r="D39" s="23"/>
      <c r="E39" s="23"/>
      <c r="F39" s="26"/>
    </row>
    <row r="40" spans="1:6" s="2" customFormat="1" ht="42" customHeight="1">
      <c r="A40" s="86" t="s">
        <v>33</v>
      </c>
      <c r="B40" s="34">
        <f t="shared" si="0"/>
        <v>31.177</v>
      </c>
      <c r="C40" s="23">
        <f>C41+C42</f>
        <v>0.857</v>
      </c>
      <c r="D40" s="23"/>
      <c r="E40" s="23">
        <f>E41+E42</f>
        <v>30.32</v>
      </c>
      <c r="F40" s="18"/>
    </row>
    <row r="41" spans="1:6" s="2" customFormat="1" ht="19.5" customHeight="1">
      <c r="A41" s="36" t="s">
        <v>18</v>
      </c>
      <c r="B41" s="34">
        <f t="shared" si="0"/>
        <v>31.177</v>
      </c>
      <c r="C41" s="8">
        <v>0.857</v>
      </c>
      <c r="D41" s="8"/>
      <c r="E41" s="8">
        <v>30.32</v>
      </c>
      <c r="F41" s="9"/>
    </row>
    <row r="42" spans="1:6" s="2" customFormat="1" ht="19.5" customHeight="1">
      <c r="A42" s="36" t="s">
        <v>15</v>
      </c>
      <c r="B42" s="34">
        <f t="shared" si="0"/>
        <v>0</v>
      </c>
      <c r="C42" s="8"/>
      <c r="D42" s="8"/>
      <c r="E42" s="17">
        <f>E43+E44</f>
        <v>0</v>
      </c>
      <c r="F42" s="18">
        <f>F43+F44</f>
        <v>0</v>
      </c>
    </row>
    <row r="43" spans="1:6" s="2" customFormat="1" ht="19.5" customHeight="1">
      <c r="A43" s="36" t="s">
        <v>16</v>
      </c>
      <c r="B43" s="34">
        <f t="shared" si="0"/>
        <v>0</v>
      </c>
      <c r="C43" s="23"/>
      <c r="D43" s="23"/>
      <c r="E43" s="23"/>
      <c r="F43" s="26"/>
    </row>
    <row r="44" spans="1:6" s="2" customFormat="1" ht="19.5" customHeight="1">
      <c r="A44" s="36" t="s">
        <v>17</v>
      </c>
      <c r="B44" s="34">
        <f t="shared" si="0"/>
        <v>0</v>
      </c>
      <c r="C44" s="23"/>
      <c r="D44" s="23"/>
      <c r="E44" s="23"/>
      <c r="F44" s="26"/>
    </row>
    <row r="45" spans="1:6" s="2" customFormat="1" ht="24.75" customHeight="1">
      <c r="A45" s="86" t="s">
        <v>10</v>
      </c>
      <c r="B45" s="34">
        <f t="shared" si="0"/>
        <v>833.6400000000001</v>
      </c>
      <c r="C45" s="17">
        <f>C46+C47</f>
        <v>0</v>
      </c>
      <c r="D45" s="8"/>
      <c r="E45" s="17">
        <f>E46+E47</f>
        <v>377.98600000000005</v>
      </c>
      <c r="F45" s="18">
        <f>F46+F47</f>
        <v>455.654</v>
      </c>
    </row>
    <row r="46" spans="1:6" s="2" customFormat="1" ht="24.75" customHeight="1">
      <c r="A46" s="36" t="s">
        <v>18</v>
      </c>
      <c r="B46" s="34">
        <f t="shared" si="0"/>
        <v>435.39700000000005</v>
      </c>
      <c r="C46" s="8"/>
      <c r="D46" s="8"/>
      <c r="E46" s="17">
        <v>358.528</v>
      </c>
      <c r="F46" s="18">
        <v>76.869</v>
      </c>
    </row>
    <row r="47" spans="1:6" s="2" customFormat="1" ht="24.75" customHeight="1">
      <c r="A47" s="36" t="s">
        <v>15</v>
      </c>
      <c r="B47" s="34">
        <f t="shared" si="0"/>
        <v>398.243</v>
      </c>
      <c r="C47" s="8"/>
      <c r="D47" s="8"/>
      <c r="E47" s="17">
        <f>E48+E49</f>
        <v>19.458000000000002</v>
      </c>
      <c r="F47" s="18">
        <f>F48+F49</f>
        <v>378.78499999999997</v>
      </c>
    </row>
    <row r="48" spans="1:6" s="2" customFormat="1" ht="24.75" customHeight="1">
      <c r="A48" s="36" t="s">
        <v>16</v>
      </c>
      <c r="B48" s="34">
        <f t="shared" si="0"/>
        <v>312.20599999999996</v>
      </c>
      <c r="C48" s="8"/>
      <c r="D48" s="8"/>
      <c r="E48" s="11">
        <v>18.524</v>
      </c>
      <c r="F48" s="12">
        <f>268.842+24.84</f>
        <v>293.68199999999996</v>
      </c>
    </row>
    <row r="49" spans="1:6" s="2" customFormat="1" ht="24.75" customHeight="1">
      <c r="A49" s="36" t="s">
        <v>17</v>
      </c>
      <c r="B49" s="34">
        <f t="shared" si="0"/>
        <v>86.03699999999999</v>
      </c>
      <c r="C49" s="8"/>
      <c r="D49" s="8"/>
      <c r="E49" s="11">
        <v>0.934</v>
      </c>
      <c r="F49" s="12">
        <v>85.103</v>
      </c>
    </row>
    <row r="50" spans="1:6" s="2" customFormat="1" ht="24.75" customHeight="1">
      <c r="A50" s="86" t="s">
        <v>5</v>
      </c>
      <c r="B50" s="34">
        <f t="shared" si="0"/>
        <v>1901.6860000000001</v>
      </c>
      <c r="C50" s="17">
        <f>C51+C52</f>
        <v>333.113</v>
      </c>
      <c r="D50" s="8"/>
      <c r="E50" s="17">
        <f>E51+E52</f>
        <v>898.701</v>
      </c>
      <c r="F50" s="18">
        <f>F51+F52</f>
        <v>669.8720000000001</v>
      </c>
    </row>
    <row r="51" spans="1:6" s="2" customFormat="1" ht="24.75" customHeight="1">
      <c r="A51" s="36" t="s">
        <v>18</v>
      </c>
      <c r="B51" s="34">
        <f t="shared" si="0"/>
        <v>1071.179</v>
      </c>
      <c r="C51" s="17">
        <v>333.113</v>
      </c>
      <c r="D51" s="8"/>
      <c r="E51" s="17">
        <v>461.212</v>
      </c>
      <c r="F51" s="18">
        <v>276.854</v>
      </c>
    </row>
    <row r="52" spans="1:6" s="2" customFormat="1" ht="24.75" customHeight="1">
      <c r="A52" s="36" t="s">
        <v>15</v>
      </c>
      <c r="B52" s="34">
        <f t="shared" si="0"/>
        <v>830.5070000000001</v>
      </c>
      <c r="C52" s="8"/>
      <c r="D52" s="8"/>
      <c r="E52" s="17">
        <f>E53+E54</f>
        <v>437.489</v>
      </c>
      <c r="F52" s="18">
        <f>F53+F54</f>
        <v>393.01800000000003</v>
      </c>
    </row>
    <row r="53" spans="1:6" s="2" customFormat="1" ht="24.75" customHeight="1">
      <c r="A53" s="36" t="s">
        <v>16</v>
      </c>
      <c r="B53" s="34">
        <f t="shared" si="0"/>
        <v>828.2270000000001</v>
      </c>
      <c r="C53" s="11"/>
      <c r="D53" s="11"/>
      <c r="E53" s="11">
        <f>415.685+19.524</f>
        <v>435.209</v>
      </c>
      <c r="F53" s="12">
        <f>345.706+47.312</f>
        <v>393.01800000000003</v>
      </c>
    </row>
    <row r="54" spans="1:6" s="2" customFormat="1" ht="24.75" customHeight="1">
      <c r="A54" s="36" t="s">
        <v>17</v>
      </c>
      <c r="B54" s="34">
        <f t="shared" si="0"/>
        <v>2.28</v>
      </c>
      <c r="C54" s="11"/>
      <c r="D54" s="11"/>
      <c r="E54" s="11">
        <v>2.28</v>
      </c>
      <c r="F54" s="12"/>
    </row>
    <row r="55" spans="1:6" s="2" customFormat="1" ht="50.25" customHeight="1">
      <c r="A55" s="86" t="s">
        <v>11</v>
      </c>
      <c r="B55" s="34">
        <f t="shared" si="0"/>
        <v>4778.34</v>
      </c>
      <c r="C55" s="17"/>
      <c r="D55" s="8"/>
      <c r="E55" s="17">
        <f>E56+E57</f>
        <v>1159.532</v>
      </c>
      <c r="F55" s="18">
        <f>F56+F57</f>
        <v>3618.808</v>
      </c>
    </row>
    <row r="56" spans="1:6" s="2" customFormat="1" ht="26.25" customHeight="1">
      <c r="A56" s="36" t="s">
        <v>18</v>
      </c>
      <c r="B56" s="34">
        <f t="shared" si="0"/>
        <v>2250.511</v>
      </c>
      <c r="C56" s="8"/>
      <c r="D56" s="8"/>
      <c r="E56" s="17">
        <v>1002.209</v>
      </c>
      <c r="F56" s="18">
        <v>1248.302</v>
      </c>
    </row>
    <row r="57" spans="1:6" s="2" customFormat="1" ht="26.25" customHeight="1">
      <c r="A57" s="36" t="s">
        <v>15</v>
      </c>
      <c r="B57" s="34">
        <f t="shared" si="0"/>
        <v>2527.8289999999997</v>
      </c>
      <c r="C57" s="8"/>
      <c r="D57" s="8"/>
      <c r="E57" s="17">
        <f>E58+E59</f>
        <v>157.32299999999998</v>
      </c>
      <c r="F57" s="18">
        <f>F58+F59</f>
        <v>2370.506</v>
      </c>
    </row>
    <row r="58" spans="1:6" s="2" customFormat="1" ht="26.25" customHeight="1">
      <c r="A58" s="36" t="s">
        <v>16</v>
      </c>
      <c r="B58" s="34">
        <f t="shared" si="0"/>
        <v>587.168</v>
      </c>
      <c r="C58" s="10"/>
      <c r="D58" s="8"/>
      <c r="E58" s="11">
        <v>20.772</v>
      </c>
      <c r="F58" s="12">
        <v>566.396</v>
      </c>
    </row>
    <row r="59" spans="1:6" s="2" customFormat="1" ht="26.25" customHeight="1">
      <c r="A59" s="36" t="s">
        <v>17</v>
      </c>
      <c r="B59" s="34">
        <f t="shared" si="0"/>
        <v>1940.6609999999998</v>
      </c>
      <c r="C59" s="10"/>
      <c r="D59" s="8"/>
      <c r="E59" s="11">
        <v>136.551</v>
      </c>
      <c r="F59" s="12">
        <v>1804.11</v>
      </c>
    </row>
    <row r="60" spans="1:6" s="2" customFormat="1" ht="24.75" customHeight="1">
      <c r="A60" s="87" t="s">
        <v>39</v>
      </c>
      <c r="B60" s="34">
        <f t="shared" si="0"/>
        <v>140.161</v>
      </c>
      <c r="C60" s="10"/>
      <c r="D60" s="8"/>
      <c r="E60" s="17">
        <f>E61+E62</f>
        <v>69.3</v>
      </c>
      <c r="F60" s="18">
        <f>F61+F62</f>
        <v>70.861</v>
      </c>
    </row>
    <row r="61" spans="1:6" s="2" customFormat="1" ht="21.75" customHeight="1">
      <c r="A61" s="36" t="s">
        <v>18</v>
      </c>
      <c r="B61" s="34">
        <f t="shared" si="0"/>
        <v>140.161</v>
      </c>
      <c r="C61" s="8"/>
      <c r="D61" s="8"/>
      <c r="E61" s="17">
        <v>69.3</v>
      </c>
      <c r="F61" s="18">
        <v>70.861</v>
      </c>
    </row>
    <row r="62" spans="1:6" s="2" customFormat="1" ht="16.5" customHeight="1">
      <c r="A62" s="36" t="s">
        <v>15</v>
      </c>
      <c r="B62" s="34">
        <f t="shared" si="0"/>
        <v>0</v>
      </c>
      <c r="C62" s="8"/>
      <c r="D62" s="8"/>
      <c r="E62" s="17">
        <f>E63+E64</f>
        <v>0</v>
      </c>
      <c r="F62" s="18">
        <f>F63+F64</f>
        <v>0</v>
      </c>
    </row>
    <row r="63" spans="1:6" s="2" customFormat="1" ht="18" customHeight="1">
      <c r="A63" s="36" t="s">
        <v>16</v>
      </c>
      <c r="B63" s="34">
        <f t="shared" si="0"/>
        <v>0</v>
      </c>
      <c r="C63" s="10"/>
      <c r="D63" s="8"/>
      <c r="E63" s="10"/>
      <c r="F63" s="19"/>
    </row>
    <row r="64" spans="1:6" s="2" customFormat="1" ht="18" customHeight="1">
      <c r="A64" s="36" t="s">
        <v>17</v>
      </c>
      <c r="B64" s="34">
        <f t="shared" si="0"/>
        <v>0</v>
      </c>
      <c r="C64" s="10"/>
      <c r="D64" s="8"/>
      <c r="E64" s="10"/>
      <c r="F64" s="19"/>
    </row>
    <row r="65" spans="1:6" s="2" customFormat="1" ht="24.75" customHeight="1">
      <c r="A65" s="87" t="s">
        <v>4</v>
      </c>
      <c r="B65" s="34">
        <f t="shared" si="0"/>
        <v>677.748</v>
      </c>
      <c r="C65" s="17">
        <f>C66+C67</f>
        <v>677.748</v>
      </c>
      <c r="D65" s="8"/>
      <c r="E65" s="8"/>
      <c r="F65" s="9"/>
    </row>
    <row r="66" spans="1:6" s="2" customFormat="1" ht="21.75" customHeight="1">
      <c r="A66" s="36" t="s">
        <v>18</v>
      </c>
      <c r="B66" s="34">
        <f t="shared" si="0"/>
        <v>677.748</v>
      </c>
      <c r="C66" s="17">
        <v>677.748</v>
      </c>
      <c r="D66" s="8"/>
      <c r="E66" s="17">
        <f>E65-E67</f>
        <v>0</v>
      </c>
      <c r="F66" s="18">
        <f>F65-F67</f>
        <v>0</v>
      </c>
    </row>
    <row r="67" spans="1:6" s="2" customFormat="1" ht="18" customHeight="1">
      <c r="A67" s="36" t="s">
        <v>15</v>
      </c>
      <c r="B67" s="34">
        <f t="shared" si="0"/>
        <v>0</v>
      </c>
      <c r="C67" s="17">
        <f>C68+C69</f>
        <v>0</v>
      </c>
      <c r="D67" s="8"/>
      <c r="E67" s="17">
        <f>E68+E69</f>
        <v>0</v>
      </c>
      <c r="F67" s="18">
        <f>F68+F69</f>
        <v>0</v>
      </c>
    </row>
    <row r="68" spans="1:6" s="2" customFormat="1" ht="19.5" customHeight="1">
      <c r="A68" s="36" t="s">
        <v>16</v>
      </c>
      <c r="B68" s="34">
        <f t="shared" si="0"/>
        <v>0</v>
      </c>
      <c r="C68" s="11"/>
      <c r="D68" s="8"/>
      <c r="E68" s="8"/>
      <c r="F68" s="9"/>
    </row>
    <row r="69" spans="1:6" s="2" customFormat="1" ht="19.5" customHeight="1" thickBot="1">
      <c r="A69" s="37" t="s">
        <v>17</v>
      </c>
      <c r="B69" s="35">
        <f t="shared" si="0"/>
        <v>0</v>
      </c>
      <c r="C69" s="16"/>
      <c r="D69" s="15"/>
      <c r="E69" s="15"/>
      <c r="F69" s="20"/>
    </row>
    <row r="70" spans="1:6" s="70" customFormat="1" ht="23.25" customHeight="1">
      <c r="A70" s="140" t="s">
        <v>26</v>
      </c>
      <c r="B70" s="95">
        <f>C70+D70+E70+F70</f>
        <v>164.367</v>
      </c>
      <c r="C70" s="145"/>
      <c r="D70" s="146"/>
      <c r="E70" s="146">
        <v>164.367</v>
      </c>
      <c r="F70" s="147"/>
    </row>
    <row r="71" spans="1:6" s="70" customFormat="1" ht="23.25" customHeight="1">
      <c r="A71" s="54" t="s">
        <v>27</v>
      </c>
      <c r="B71" s="5">
        <f aca="true" t="shared" si="1" ref="B71:B78">C71+D71+E71+F71</f>
        <v>16.903</v>
      </c>
      <c r="C71" s="148"/>
      <c r="D71" s="144"/>
      <c r="E71" s="144">
        <f>4.869+12.034</f>
        <v>16.903</v>
      </c>
      <c r="F71" s="139"/>
    </row>
    <row r="72" spans="1:6" s="70" customFormat="1" ht="23.25" customHeight="1">
      <c r="A72" s="54" t="s">
        <v>34</v>
      </c>
      <c r="B72" s="5">
        <f t="shared" si="1"/>
        <v>547.601</v>
      </c>
      <c r="C72" s="148"/>
      <c r="D72" s="144"/>
      <c r="E72" s="144">
        <v>478.828</v>
      </c>
      <c r="F72" s="26">
        <v>68.773</v>
      </c>
    </row>
    <row r="73" spans="1:6" s="70" customFormat="1" ht="23.25" customHeight="1">
      <c r="A73" s="62" t="s">
        <v>35</v>
      </c>
      <c r="B73" s="5">
        <f t="shared" si="1"/>
        <v>1532.1499999999999</v>
      </c>
      <c r="C73" s="149">
        <v>1523.6</v>
      </c>
      <c r="D73" s="58"/>
      <c r="E73" s="58"/>
      <c r="F73" s="59">
        <v>8.55</v>
      </c>
    </row>
    <row r="74" spans="1:6" s="70" customFormat="1" ht="23.25" customHeight="1">
      <c r="A74" s="54" t="s">
        <v>28</v>
      </c>
      <c r="B74" s="5">
        <f t="shared" si="1"/>
        <v>699.003</v>
      </c>
      <c r="C74" s="148">
        <v>489.222</v>
      </c>
      <c r="D74" s="144"/>
      <c r="E74" s="144">
        <v>167.738</v>
      </c>
      <c r="F74" s="139">
        <v>42.043</v>
      </c>
    </row>
    <row r="75" spans="1:6" s="70" customFormat="1" ht="33" customHeight="1">
      <c r="A75" s="62" t="s">
        <v>29</v>
      </c>
      <c r="B75" s="104">
        <f t="shared" si="1"/>
        <v>371.052</v>
      </c>
      <c r="C75" s="149"/>
      <c r="D75" s="58"/>
      <c r="E75" s="144">
        <v>371.052</v>
      </c>
      <c r="F75" s="59"/>
    </row>
    <row r="76" spans="1:6" s="70" customFormat="1" ht="38.25" customHeight="1">
      <c r="A76" s="105" t="s">
        <v>30</v>
      </c>
      <c r="B76" s="104">
        <f t="shared" si="1"/>
        <v>48.448</v>
      </c>
      <c r="C76" s="149"/>
      <c r="D76" s="58"/>
      <c r="E76" s="58"/>
      <c r="F76" s="59">
        <v>48.448</v>
      </c>
    </row>
    <row r="77" spans="1:6" s="3" customFormat="1" ht="42" customHeight="1" thickBot="1">
      <c r="A77" s="106" t="s">
        <v>31</v>
      </c>
      <c r="B77" s="107">
        <f t="shared" si="1"/>
        <v>228.407</v>
      </c>
      <c r="C77" s="150"/>
      <c r="D77" s="63"/>
      <c r="E77" s="63">
        <v>7.901</v>
      </c>
      <c r="F77" s="151">
        <v>220.506</v>
      </c>
    </row>
    <row r="78" spans="1:6" s="3" customFormat="1" ht="18.75" thickBot="1">
      <c r="A78" s="110" t="s">
        <v>40</v>
      </c>
      <c r="B78" s="88">
        <f t="shared" si="1"/>
        <v>99621.26700000002</v>
      </c>
      <c r="C78" s="89">
        <f>C5+C10+C15+C20+C25+C30+C35+C40+C45+C50+C55+C60+C65+C70+C71+C72+C73+C74+C75+C76+C77</f>
        <v>44978.590000000004</v>
      </c>
      <c r="D78" s="89">
        <f>D5+D10+D15+D20+D25+D30+D35+D40+D45+D50+D55+D60+D65+D70+D71+D72+D73+D74+D75+D76+D77</f>
        <v>1149.599</v>
      </c>
      <c r="E78" s="89">
        <f>E5+E10+E15+E20+E25+E30+E35+E40+E45+E50+E55+E60+E65+E70+E71+E72+E73+E74+E75+E76+E77</f>
        <v>22396.690000000002</v>
      </c>
      <c r="F78" s="89">
        <f>F5+F10+F15+F20+F25+F30+F35+F40+F45+F50+F55+F60+F65+F70+F71+F72+F73+F74+F75+F76+F77</f>
        <v>31096.38800000001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="60" zoomScaleNormal="60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F2"/>
    </sheetView>
  </sheetViews>
  <sheetFormatPr defaultColWidth="9.00390625" defaultRowHeight="12.75"/>
  <cols>
    <col min="1" max="1" width="58.37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19.37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51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24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45.75" customHeight="1">
      <c r="A5" s="152" t="s">
        <v>7</v>
      </c>
      <c r="B5" s="95">
        <f aca="true" t="shared" si="0" ref="B5:B36">C5+D5+E5+F5</f>
        <v>223947.253</v>
      </c>
      <c r="C5" s="115">
        <f>C6+C7</f>
        <v>103036.145</v>
      </c>
      <c r="D5" s="115">
        <f>D6+D7</f>
        <v>3641.1079999999997</v>
      </c>
      <c r="E5" s="115">
        <f>E6+E7</f>
        <v>50974.799000000006</v>
      </c>
      <c r="F5" s="116">
        <f>F6+F7</f>
        <v>66295.201</v>
      </c>
    </row>
    <row r="6" spans="1:6" s="2" customFormat="1" ht="27" customHeight="1">
      <c r="A6" s="21" t="s">
        <v>18</v>
      </c>
      <c r="B6" s="5">
        <f t="shared" si="0"/>
        <v>180715.77400000003</v>
      </c>
      <c r="C6" s="8">
        <f>'апрель фaкт'!C6+'май факт'!C6+'июнь факт'!C6</f>
        <v>102298.512</v>
      </c>
      <c r="D6" s="8">
        <f>'апрель фaкт'!D6+'май факт'!D6+'июнь факт'!D6</f>
        <v>3637.888</v>
      </c>
      <c r="E6" s="8">
        <f>'апрель фaкт'!E6+'май факт'!E6+'июнь факт'!E6</f>
        <v>48964.378000000004</v>
      </c>
      <c r="F6" s="9">
        <f>'апрель фaкт'!F6+'май факт'!F6+'июнь факт'!F6</f>
        <v>25814.996</v>
      </c>
    </row>
    <row r="7" spans="1:6" s="2" customFormat="1" ht="20.25" customHeight="1">
      <c r="A7" s="21" t="s">
        <v>15</v>
      </c>
      <c r="B7" s="5">
        <f t="shared" si="0"/>
        <v>43231.479</v>
      </c>
      <c r="C7" s="8">
        <f>C8+C9</f>
        <v>737.633</v>
      </c>
      <c r="D7" s="17">
        <f>D8+D9</f>
        <v>3.2200000000000006</v>
      </c>
      <c r="E7" s="17">
        <f>E8+E9</f>
        <v>2010.421</v>
      </c>
      <c r="F7" s="18">
        <f>F8+F9</f>
        <v>40480.205</v>
      </c>
    </row>
    <row r="8" spans="1:6" s="2" customFormat="1" ht="21.75" customHeight="1">
      <c r="A8" s="21" t="s">
        <v>16</v>
      </c>
      <c r="B8" s="5">
        <f t="shared" si="0"/>
        <v>12353.195</v>
      </c>
      <c r="C8" s="10">
        <f>'апрель фaкт'!C8+'май факт'!C8+'июнь факт'!C8</f>
        <v>143.685</v>
      </c>
      <c r="D8" s="10">
        <f>'апрель фaкт'!D8+'май факт'!D8+'июнь факт'!D8</f>
        <v>0</v>
      </c>
      <c r="E8" s="10">
        <f>'апрель фaкт'!E8+'май факт'!E8+'июнь факт'!E8</f>
        <v>256.94</v>
      </c>
      <c r="F8" s="19">
        <f>'апрель фaкт'!F8+'май факт'!F8+'июнь факт'!F8</f>
        <v>11952.57</v>
      </c>
    </row>
    <row r="9" spans="1:6" s="2" customFormat="1" ht="24.75" customHeight="1">
      <c r="A9" s="21" t="s">
        <v>17</v>
      </c>
      <c r="B9" s="5">
        <f t="shared" si="0"/>
        <v>30878.284000000003</v>
      </c>
      <c r="C9" s="10">
        <f>'апрель фaкт'!C9+'май факт'!C9+'июнь факт'!C9</f>
        <v>593.9480000000001</v>
      </c>
      <c r="D9" s="10">
        <f>'апрель фaкт'!D9+'май факт'!D9+'июнь факт'!D9</f>
        <v>3.2200000000000006</v>
      </c>
      <c r="E9" s="10">
        <f>'апрель фaкт'!E9+'май факт'!E9+'июнь факт'!E9</f>
        <v>1753.481</v>
      </c>
      <c r="F9" s="19">
        <f>'апрель фaкт'!F9+'май факт'!F9+'июнь факт'!F9</f>
        <v>28527.635000000002</v>
      </c>
    </row>
    <row r="10" spans="1:6" s="2" customFormat="1" ht="34.5" customHeight="1">
      <c r="A10" s="153" t="s">
        <v>13</v>
      </c>
      <c r="B10" s="5">
        <f t="shared" si="0"/>
        <v>14747.928</v>
      </c>
      <c r="C10" s="17">
        <f>C11+C12</f>
        <v>2091.46</v>
      </c>
      <c r="D10" s="17">
        <f>D11+D12</f>
        <v>0</v>
      </c>
      <c r="E10" s="17">
        <f>E11+E12</f>
        <v>5182.04</v>
      </c>
      <c r="F10" s="18">
        <f>F11+F12</f>
        <v>7474.428</v>
      </c>
    </row>
    <row r="11" spans="1:6" s="2" customFormat="1" ht="21.75" customHeight="1">
      <c r="A11" s="21" t="s">
        <v>18</v>
      </c>
      <c r="B11" s="5">
        <f t="shared" si="0"/>
        <v>9138.002</v>
      </c>
      <c r="C11" s="8">
        <f>'апрель фaкт'!C11+'май факт'!C11+'июнь факт'!C11</f>
        <v>1920.5529999999999</v>
      </c>
      <c r="D11" s="8">
        <f>'апрель фaкт'!D11+'май факт'!D11+'июнь факт'!D11</f>
        <v>0</v>
      </c>
      <c r="E11" s="8">
        <f>'апрель фaкт'!E11+'май факт'!E11+'июнь факт'!E11</f>
        <v>4349.361</v>
      </c>
      <c r="F11" s="9">
        <f>'апрель фaкт'!F11+'май факт'!F11+'июнь факт'!F11</f>
        <v>2868.0879999999997</v>
      </c>
    </row>
    <row r="12" spans="1:6" s="2" customFormat="1" ht="19.5" customHeight="1">
      <c r="A12" s="21" t="s">
        <v>15</v>
      </c>
      <c r="B12" s="5">
        <f t="shared" si="0"/>
        <v>5609.926</v>
      </c>
      <c r="C12" s="8">
        <f>C13+C14</f>
        <v>170.907</v>
      </c>
      <c r="D12" s="17">
        <f>D13+D14</f>
        <v>0</v>
      </c>
      <c r="E12" s="17">
        <f>E13+E14</f>
        <v>832.679</v>
      </c>
      <c r="F12" s="18">
        <f>F13+F14</f>
        <v>4606.34</v>
      </c>
    </row>
    <row r="13" spans="1:6" s="2" customFormat="1" ht="17.25" customHeight="1">
      <c r="A13" s="21" t="s">
        <v>16</v>
      </c>
      <c r="B13" s="5">
        <f t="shared" si="0"/>
        <v>3243.172</v>
      </c>
      <c r="C13" s="10">
        <f>'апрель фaкт'!C13+'май факт'!C13+'июнь факт'!C13</f>
        <v>0</v>
      </c>
      <c r="D13" s="10">
        <f>'апрель фaкт'!D13+'май факт'!D13+'июнь факт'!D13</f>
        <v>0</v>
      </c>
      <c r="E13" s="10">
        <f>'апрель фaкт'!E13+'май факт'!E13+'июнь факт'!E13</f>
        <v>155.477</v>
      </c>
      <c r="F13" s="19">
        <f>'апрель фaкт'!F13+'май факт'!F13+'июнь факт'!F13</f>
        <v>3087.695</v>
      </c>
    </row>
    <row r="14" spans="1:6" s="2" customFormat="1" ht="17.25" customHeight="1">
      <c r="A14" s="21" t="s">
        <v>17</v>
      </c>
      <c r="B14" s="5">
        <f t="shared" si="0"/>
        <v>2366.754</v>
      </c>
      <c r="C14" s="10">
        <f>'апрель фaкт'!C14+'май факт'!C14+'июнь факт'!C14</f>
        <v>170.907</v>
      </c>
      <c r="D14" s="10">
        <f>'апрель фaкт'!D14+'май факт'!D14+'июнь факт'!D14</f>
        <v>0</v>
      </c>
      <c r="E14" s="10">
        <f>'апрель фaкт'!E14+'май факт'!E14+'июнь факт'!E14</f>
        <v>677.202</v>
      </c>
      <c r="F14" s="19">
        <f>'апрель фaкт'!F14+'май факт'!F14+'июнь факт'!F14</f>
        <v>1518.645</v>
      </c>
    </row>
    <row r="15" spans="1:6" s="2" customFormat="1" ht="35.25" customHeight="1">
      <c r="A15" s="153" t="s">
        <v>6</v>
      </c>
      <c r="B15" s="5">
        <f t="shared" si="0"/>
        <v>3622.6870000000004</v>
      </c>
      <c r="C15" s="17">
        <f>C16+C17</f>
        <v>3622.6870000000004</v>
      </c>
      <c r="D15" s="17">
        <f>D16+D17</f>
        <v>0</v>
      </c>
      <c r="E15" s="17">
        <f>E16+E17</f>
        <v>0</v>
      </c>
      <c r="F15" s="18">
        <f>F16+F17</f>
        <v>0</v>
      </c>
    </row>
    <row r="16" spans="1:6" s="2" customFormat="1" ht="19.5" customHeight="1">
      <c r="A16" s="21" t="s">
        <v>18</v>
      </c>
      <c r="B16" s="5">
        <f t="shared" si="0"/>
        <v>3621.6720000000005</v>
      </c>
      <c r="C16" s="8">
        <f>'апрель фaкт'!C16+'май факт'!C16+'июнь факт'!C16</f>
        <v>3621.6720000000005</v>
      </c>
      <c r="D16" s="8">
        <f>'апрель фaкт'!D16+'май факт'!D16+'июнь факт'!D16</f>
        <v>0</v>
      </c>
      <c r="E16" s="8">
        <f>'апрель фaкт'!E16+'май факт'!E16+'июнь факт'!E16</f>
        <v>0</v>
      </c>
      <c r="F16" s="9">
        <f>'апрель фaкт'!F16+'май факт'!F16+'июнь факт'!F16</f>
        <v>0</v>
      </c>
    </row>
    <row r="17" spans="1:6" s="2" customFormat="1" ht="18" customHeight="1">
      <c r="A17" s="21" t="s">
        <v>15</v>
      </c>
      <c r="B17" s="5">
        <f t="shared" si="0"/>
        <v>1.0150000000000001</v>
      </c>
      <c r="C17" s="8">
        <f>C18+C19</f>
        <v>1.0150000000000001</v>
      </c>
      <c r="D17" s="17">
        <f>D18+D19</f>
        <v>0</v>
      </c>
      <c r="E17" s="17">
        <f>E18+E19</f>
        <v>0</v>
      </c>
      <c r="F17" s="18">
        <f>F18+F19</f>
        <v>0</v>
      </c>
    </row>
    <row r="18" spans="1:6" s="2" customFormat="1" ht="19.5" customHeight="1">
      <c r="A18" s="21" t="s">
        <v>16</v>
      </c>
      <c r="B18" s="5">
        <f t="shared" si="0"/>
        <v>1.0150000000000001</v>
      </c>
      <c r="C18" s="10">
        <f>'апрель фaкт'!C18+'май факт'!C18+'июнь факт'!C18</f>
        <v>1.0150000000000001</v>
      </c>
      <c r="D18" s="10">
        <f>'апрель фaкт'!D18+'май факт'!D18+'июнь факт'!D18</f>
        <v>0</v>
      </c>
      <c r="E18" s="10">
        <f>'апрель фaкт'!E18+'май факт'!E18+'июнь факт'!E18</f>
        <v>0</v>
      </c>
      <c r="F18" s="19">
        <f>'апрель фaкт'!F18+'май факт'!F18+'июнь факт'!F18</f>
        <v>0</v>
      </c>
    </row>
    <row r="19" spans="1:6" s="2" customFormat="1" ht="19.5" customHeight="1">
      <c r="A19" s="21" t="s">
        <v>17</v>
      </c>
      <c r="B19" s="5">
        <f t="shared" si="0"/>
        <v>0</v>
      </c>
      <c r="C19" s="10">
        <f>'апрель фaкт'!C19+'май факт'!C19+'июнь факт'!C19</f>
        <v>0</v>
      </c>
      <c r="D19" s="10">
        <f>'апрель фaкт'!D19+'май факт'!D19+'июнь факт'!D19</f>
        <v>0</v>
      </c>
      <c r="E19" s="10">
        <f>'апрель фaкт'!E19+'май факт'!E19+'июнь факт'!E19</f>
        <v>0</v>
      </c>
      <c r="F19" s="19">
        <f>'апрель фaкт'!F19+'май факт'!F19+'июнь факт'!F19</f>
        <v>0</v>
      </c>
    </row>
    <row r="20" spans="1:6" s="2" customFormat="1" ht="36" customHeight="1">
      <c r="A20" s="153" t="s">
        <v>36</v>
      </c>
      <c r="B20" s="5">
        <f t="shared" si="0"/>
        <v>1049.862</v>
      </c>
      <c r="C20" s="17">
        <f>C21+C22</f>
        <v>24.299</v>
      </c>
      <c r="D20" s="17">
        <f>D21+D22</f>
        <v>720.77</v>
      </c>
      <c r="E20" s="17">
        <f>E21+E22</f>
        <v>88</v>
      </c>
      <c r="F20" s="18">
        <f>F21+F22</f>
        <v>216.793</v>
      </c>
    </row>
    <row r="21" spans="1:6" s="2" customFormat="1" ht="21.75" customHeight="1">
      <c r="A21" s="21" t="s">
        <v>18</v>
      </c>
      <c r="B21" s="5">
        <f t="shared" si="0"/>
        <v>996.3019999999999</v>
      </c>
      <c r="C21" s="8">
        <f>'апрель фaкт'!C21+'май факт'!C21+'июнь факт'!C21</f>
        <v>24.299</v>
      </c>
      <c r="D21" s="8">
        <f>'апрель фaкт'!D21+'май факт'!D21+'июнь факт'!D21</f>
        <v>720.77</v>
      </c>
      <c r="E21" s="8">
        <f>'апрель фaкт'!E21+'май факт'!E21+'июнь факт'!E21</f>
        <v>88</v>
      </c>
      <c r="F21" s="9">
        <f>'апрель фaкт'!F21+'май факт'!F21+'июнь факт'!F21</f>
        <v>163.233</v>
      </c>
    </row>
    <row r="22" spans="1:6" s="2" customFormat="1" ht="21" customHeight="1">
      <c r="A22" s="21" t="s">
        <v>15</v>
      </c>
      <c r="B22" s="5">
        <f t="shared" si="0"/>
        <v>53.56</v>
      </c>
      <c r="C22" s="8">
        <f>C23+C24</f>
        <v>0</v>
      </c>
      <c r="D22" s="17">
        <f>D23+D24</f>
        <v>0</v>
      </c>
      <c r="E22" s="17">
        <f>E23+E24</f>
        <v>0</v>
      </c>
      <c r="F22" s="18">
        <f>F23+F24</f>
        <v>53.56</v>
      </c>
    </row>
    <row r="23" spans="1:6" s="2" customFormat="1" ht="21.75" customHeight="1">
      <c r="A23" s="21" t="s">
        <v>16</v>
      </c>
      <c r="B23" s="5">
        <f t="shared" si="0"/>
        <v>53.56</v>
      </c>
      <c r="C23" s="10">
        <f>'апрель фaкт'!C23+'май факт'!C23+'июнь факт'!C23</f>
        <v>0</v>
      </c>
      <c r="D23" s="10">
        <f>'апрель фaкт'!D23+'май факт'!D23+'июнь факт'!D23</f>
        <v>0</v>
      </c>
      <c r="E23" s="10">
        <f>'апрель фaкт'!E23+'май факт'!E23+'июнь факт'!E23</f>
        <v>0</v>
      </c>
      <c r="F23" s="19">
        <f>'апрель фaкт'!F23+'май факт'!F23+'июнь факт'!F23</f>
        <v>53.56</v>
      </c>
    </row>
    <row r="24" spans="1:6" s="2" customFormat="1" ht="21" customHeight="1">
      <c r="A24" s="21" t="s">
        <v>17</v>
      </c>
      <c r="B24" s="5">
        <f t="shared" si="0"/>
        <v>0</v>
      </c>
      <c r="C24" s="10">
        <f>'апрель фaкт'!C24+'май факт'!C24+'июнь факт'!C24</f>
        <v>0</v>
      </c>
      <c r="D24" s="10">
        <f>'апрель фaкт'!D24+'май факт'!D24+'июнь факт'!D24</f>
        <v>0</v>
      </c>
      <c r="E24" s="10">
        <f>'апрель фaкт'!E24+'май факт'!E24+'июнь факт'!E24</f>
        <v>0</v>
      </c>
      <c r="F24" s="19">
        <f>'апрель фaкт'!F24+'май факт'!F24+'июнь факт'!F24</f>
        <v>0</v>
      </c>
    </row>
    <row r="25" spans="1:6" s="2" customFormat="1" ht="41.25" customHeight="1">
      <c r="A25" s="153" t="s">
        <v>8</v>
      </c>
      <c r="B25" s="5">
        <f t="shared" si="0"/>
        <v>35845.15700000001</v>
      </c>
      <c r="C25" s="17">
        <f>C26+C27</f>
        <v>20959.57</v>
      </c>
      <c r="D25" s="17">
        <f>D26+D27</f>
        <v>0</v>
      </c>
      <c r="E25" s="17">
        <f>E26+E27</f>
        <v>5382.101000000001</v>
      </c>
      <c r="F25" s="18">
        <f>F26+F27</f>
        <v>9503.486</v>
      </c>
    </row>
    <row r="26" spans="1:6" s="2" customFormat="1" ht="19.5" customHeight="1">
      <c r="A26" s="21" t="s">
        <v>18</v>
      </c>
      <c r="B26" s="5">
        <f t="shared" si="0"/>
        <v>29314.269</v>
      </c>
      <c r="C26" s="8">
        <f>'апрель фaкт'!C26+'май факт'!C26+'июнь факт'!C26</f>
        <v>20959.57</v>
      </c>
      <c r="D26" s="8">
        <f>'апрель фaкт'!D26+'май факт'!D26+'июнь факт'!D26</f>
        <v>0</v>
      </c>
      <c r="E26" s="8">
        <f>'апрель фaкт'!E26+'май факт'!E26+'июнь факт'!E26</f>
        <v>5303.926</v>
      </c>
      <c r="F26" s="9">
        <f>'апрель фaкт'!F26+'май факт'!F26+'июнь факт'!F26</f>
        <v>3050.773</v>
      </c>
    </row>
    <row r="27" spans="1:6" s="2" customFormat="1" ht="24.75" customHeight="1">
      <c r="A27" s="21" t="s">
        <v>15</v>
      </c>
      <c r="B27" s="5">
        <f t="shared" si="0"/>
        <v>6530.888000000001</v>
      </c>
      <c r="C27" s="8">
        <f>C28+C29</f>
        <v>0</v>
      </c>
      <c r="D27" s="17">
        <f>D28+D29</f>
        <v>0</v>
      </c>
      <c r="E27" s="17">
        <f>E28+E29</f>
        <v>78.17500000000001</v>
      </c>
      <c r="F27" s="18">
        <f>F28+F29</f>
        <v>6452.713000000001</v>
      </c>
    </row>
    <row r="28" spans="1:6" s="2" customFormat="1" ht="25.5" customHeight="1">
      <c r="A28" s="21" t="s">
        <v>16</v>
      </c>
      <c r="B28" s="5">
        <f t="shared" si="0"/>
        <v>6446.904</v>
      </c>
      <c r="C28" s="10">
        <f>'апрель фaкт'!C28+'май факт'!C28+'июнь факт'!C28</f>
        <v>0</v>
      </c>
      <c r="D28" s="10">
        <f>'апрель фaкт'!D28+'май факт'!D28+'июнь факт'!D28</f>
        <v>0</v>
      </c>
      <c r="E28" s="10">
        <f>'апрель фaкт'!E28+'май факт'!E28+'июнь факт'!E28</f>
        <v>78.17500000000001</v>
      </c>
      <c r="F28" s="19">
        <f>'апрель фaкт'!F28+'май факт'!F28+'июнь факт'!F28</f>
        <v>6368.729</v>
      </c>
    </row>
    <row r="29" spans="1:6" s="2" customFormat="1" ht="20.25" customHeight="1">
      <c r="A29" s="21" t="s">
        <v>17</v>
      </c>
      <c r="B29" s="5">
        <f t="shared" si="0"/>
        <v>83.984</v>
      </c>
      <c r="C29" s="10">
        <f>'апрель фaкт'!C29+'май факт'!C29+'июнь факт'!C29</f>
        <v>0</v>
      </c>
      <c r="D29" s="10">
        <f>'апрель фaкт'!D29+'май факт'!D29+'июнь факт'!D29</f>
        <v>0</v>
      </c>
      <c r="E29" s="10">
        <f>'апрель фaкт'!E29+'май факт'!E29+'июнь факт'!E29</f>
        <v>0</v>
      </c>
      <c r="F29" s="19">
        <f>'апрель фaкт'!F29+'май факт'!F29+'июнь факт'!F29</f>
        <v>83.984</v>
      </c>
    </row>
    <row r="30" spans="1:6" s="2" customFormat="1" ht="50.25" customHeight="1">
      <c r="A30" s="153" t="s">
        <v>9</v>
      </c>
      <c r="B30" s="5">
        <f t="shared" si="0"/>
        <v>346.081</v>
      </c>
      <c r="C30" s="17">
        <f>C31+C32</f>
        <v>0</v>
      </c>
      <c r="D30" s="17">
        <f>D31+D32</f>
        <v>0</v>
      </c>
      <c r="E30" s="17">
        <f>E31+E32</f>
        <v>235.024</v>
      </c>
      <c r="F30" s="18">
        <f>F31+F32</f>
        <v>111.05699999999999</v>
      </c>
    </row>
    <row r="31" spans="1:6" s="2" customFormat="1" ht="22.5" customHeight="1">
      <c r="A31" s="21" t="s">
        <v>18</v>
      </c>
      <c r="B31" s="5">
        <f t="shared" si="0"/>
        <v>268.119</v>
      </c>
      <c r="C31" s="8">
        <f>'апрель фaкт'!C31+'май факт'!C31+'июнь факт'!C31</f>
        <v>0</v>
      </c>
      <c r="D31" s="8">
        <f>'апрель фaкт'!D31+'май факт'!D31+'июнь факт'!D31</f>
        <v>0</v>
      </c>
      <c r="E31" s="8">
        <f>'апрель фaкт'!E31+'май факт'!E31+'июнь факт'!E31</f>
        <v>235.024</v>
      </c>
      <c r="F31" s="9">
        <f>'апрель фaкт'!F31+'май факт'!F31+'июнь факт'!F31</f>
        <v>33.095</v>
      </c>
    </row>
    <row r="32" spans="1:6" s="2" customFormat="1" ht="24.75" customHeight="1">
      <c r="A32" s="21" t="s">
        <v>15</v>
      </c>
      <c r="B32" s="5">
        <f t="shared" si="0"/>
        <v>77.96199999999999</v>
      </c>
      <c r="C32" s="8">
        <f>C33+C34</f>
        <v>0</v>
      </c>
      <c r="D32" s="17">
        <f>D33+D34</f>
        <v>0</v>
      </c>
      <c r="E32" s="17">
        <f>E33+E34</f>
        <v>0</v>
      </c>
      <c r="F32" s="18">
        <f>F33+F34</f>
        <v>77.96199999999999</v>
      </c>
    </row>
    <row r="33" spans="1:6" s="2" customFormat="1" ht="18" customHeight="1">
      <c r="A33" s="21" t="s">
        <v>16</v>
      </c>
      <c r="B33" s="5">
        <f t="shared" si="0"/>
        <v>64.05799999999999</v>
      </c>
      <c r="C33" s="10">
        <f>'апрель фaкт'!C33+'май факт'!C33+'июнь факт'!C33</f>
        <v>0</v>
      </c>
      <c r="D33" s="10">
        <f>'апрель фaкт'!D33+'май факт'!D33+'июнь факт'!D33</f>
        <v>0</v>
      </c>
      <c r="E33" s="10">
        <f>'апрель фaкт'!E33+'май факт'!E33+'июнь факт'!E33</f>
        <v>0</v>
      </c>
      <c r="F33" s="19">
        <f>'апрель фaкт'!F33+'май факт'!F33+'июнь факт'!F33</f>
        <v>64.05799999999999</v>
      </c>
    </row>
    <row r="34" spans="1:6" s="2" customFormat="1" ht="18" customHeight="1">
      <c r="A34" s="21" t="s">
        <v>17</v>
      </c>
      <c r="B34" s="5">
        <f t="shared" si="0"/>
        <v>13.904</v>
      </c>
      <c r="C34" s="10">
        <f>'апрель фaкт'!C34+'май факт'!C34+'июнь факт'!C34</f>
        <v>0</v>
      </c>
      <c r="D34" s="10">
        <f>'апрель фaкт'!D34+'май факт'!D34+'июнь факт'!D34</f>
        <v>0</v>
      </c>
      <c r="E34" s="10">
        <f>'апрель фaкт'!E34+'май факт'!E34+'июнь факт'!E34</f>
        <v>0</v>
      </c>
      <c r="F34" s="19">
        <f>'апрель фaкт'!F34+'май факт'!F34+'июнь факт'!F34</f>
        <v>13.904</v>
      </c>
    </row>
    <row r="35" spans="1:6" s="2" customFormat="1" ht="25.5" customHeight="1">
      <c r="A35" s="153" t="s">
        <v>32</v>
      </c>
      <c r="B35" s="5">
        <f t="shared" si="0"/>
        <v>334.916</v>
      </c>
      <c r="C35" s="17">
        <f>C36+C37</f>
        <v>225.63</v>
      </c>
      <c r="D35" s="17">
        <f>D36+D37</f>
        <v>0</v>
      </c>
      <c r="E35" s="17">
        <f>E36+E37</f>
        <v>109.286</v>
      </c>
      <c r="F35" s="18">
        <f>F36+F37</f>
        <v>0</v>
      </c>
    </row>
    <row r="36" spans="1:6" s="2" customFormat="1" ht="23.25" customHeight="1">
      <c r="A36" s="21" t="s">
        <v>18</v>
      </c>
      <c r="B36" s="5">
        <f t="shared" si="0"/>
        <v>310.111</v>
      </c>
      <c r="C36" s="8">
        <f>'апрель фaкт'!C36+'май факт'!C36+'июнь факт'!C36</f>
        <v>225.63</v>
      </c>
      <c r="D36" s="8">
        <f>'апрель фaкт'!D36+'май факт'!D36+'июнь факт'!D36</f>
        <v>0</v>
      </c>
      <c r="E36" s="8">
        <f>'апрель фaкт'!E36+'май факт'!E36+'июнь факт'!E36</f>
        <v>84.481</v>
      </c>
      <c r="F36" s="9">
        <f>'апрель фaкт'!F36+'май факт'!F36+'июнь факт'!F36</f>
        <v>0</v>
      </c>
    </row>
    <row r="37" spans="1:6" s="2" customFormat="1" ht="23.25" customHeight="1">
      <c r="A37" s="21" t="s">
        <v>15</v>
      </c>
      <c r="B37" s="5">
        <f aca="true" t="shared" si="1" ref="B37:B68">C37+D37+E37+F37</f>
        <v>24.805</v>
      </c>
      <c r="C37" s="8">
        <f>C38+C39</f>
        <v>0</v>
      </c>
      <c r="D37" s="17">
        <f>D38+D39</f>
        <v>0</v>
      </c>
      <c r="E37" s="17">
        <f>E38+E39</f>
        <v>24.805</v>
      </c>
      <c r="F37" s="18">
        <f>F38+F39</f>
        <v>0</v>
      </c>
    </row>
    <row r="38" spans="1:6" s="2" customFormat="1" ht="23.25" customHeight="1">
      <c r="A38" s="21" t="s">
        <v>16</v>
      </c>
      <c r="B38" s="5">
        <f t="shared" si="1"/>
        <v>0</v>
      </c>
      <c r="C38" s="10">
        <f>'апрель фaкт'!C38+'май факт'!C38+'июнь факт'!C38</f>
        <v>0</v>
      </c>
      <c r="D38" s="10">
        <f>'апрель фaкт'!D38+'май факт'!D38+'июнь факт'!D38</f>
        <v>0</v>
      </c>
      <c r="E38" s="10">
        <f>'апрель фaкт'!E38+'май факт'!E38+'июнь факт'!E38</f>
        <v>0</v>
      </c>
      <c r="F38" s="19">
        <f>'апрель фaкт'!F38+'май факт'!F38+'июнь факт'!F38</f>
        <v>0</v>
      </c>
    </row>
    <row r="39" spans="1:6" s="2" customFormat="1" ht="23.25" customHeight="1">
      <c r="A39" s="21" t="s">
        <v>17</v>
      </c>
      <c r="B39" s="5">
        <f t="shared" si="1"/>
        <v>24.805</v>
      </c>
      <c r="C39" s="10">
        <f>'апрель фaкт'!C39+'май факт'!C39+'июнь факт'!C39</f>
        <v>0</v>
      </c>
      <c r="D39" s="10">
        <f>'апрель фaкт'!D39+'май факт'!D39+'июнь факт'!D39</f>
        <v>0</v>
      </c>
      <c r="E39" s="10">
        <f>'апрель фaкт'!E39+'май факт'!E39+'июнь факт'!E39</f>
        <v>24.805</v>
      </c>
      <c r="F39" s="19">
        <f>'апрель фaкт'!F39+'май факт'!F39+'июнь факт'!F39</f>
        <v>0</v>
      </c>
    </row>
    <row r="40" spans="1:6" s="2" customFormat="1" ht="42" customHeight="1">
      <c r="A40" s="153" t="s">
        <v>33</v>
      </c>
      <c r="B40" s="5">
        <f t="shared" si="1"/>
        <v>100.983</v>
      </c>
      <c r="C40" s="17">
        <f>C41+C42</f>
        <v>2.529</v>
      </c>
      <c r="D40" s="17">
        <f>D41+D42</f>
        <v>0</v>
      </c>
      <c r="E40" s="17">
        <f>E41+E42</f>
        <v>98.45400000000001</v>
      </c>
      <c r="F40" s="18">
        <f>F41+F42</f>
        <v>0</v>
      </c>
    </row>
    <row r="41" spans="1:6" s="2" customFormat="1" ht="19.5" customHeight="1">
      <c r="A41" s="21" t="s">
        <v>18</v>
      </c>
      <c r="B41" s="5">
        <f t="shared" si="1"/>
        <v>100.983</v>
      </c>
      <c r="C41" s="8">
        <f>'апрель фaкт'!C41+'май факт'!C41+'июнь факт'!C41</f>
        <v>2.529</v>
      </c>
      <c r="D41" s="8">
        <f>'апрель фaкт'!D41+'май факт'!D41+'июнь факт'!D41</f>
        <v>0</v>
      </c>
      <c r="E41" s="8">
        <f>'апрель фaкт'!E41+'май факт'!E41+'июнь факт'!E41</f>
        <v>98.45400000000001</v>
      </c>
      <c r="F41" s="9">
        <f>'апрель фaкт'!F41+'май факт'!F41+'июнь факт'!F41</f>
        <v>0</v>
      </c>
    </row>
    <row r="42" spans="1:6" s="2" customFormat="1" ht="19.5" customHeight="1">
      <c r="A42" s="21" t="s">
        <v>15</v>
      </c>
      <c r="B42" s="5">
        <f t="shared" si="1"/>
        <v>0</v>
      </c>
      <c r="C42" s="8">
        <f>C43+C44</f>
        <v>0</v>
      </c>
      <c r="D42" s="17">
        <f>D43+D44</f>
        <v>0</v>
      </c>
      <c r="E42" s="17">
        <f>E43+E44</f>
        <v>0</v>
      </c>
      <c r="F42" s="18">
        <f>F43+F44</f>
        <v>0</v>
      </c>
    </row>
    <row r="43" spans="1:6" s="2" customFormat="1" ht="19.5" customHeight="1">
      <c r="A43" s="21" t="s">
        <v>16</v>
      </c>
      <c r="B43" s="5">
        <f t="shared" si="1"/>
        <v>0</v>
      </c>
      <c r="C43" s="10">
        <f>'апрель фaкт'!C43+'май факт'!C43+'июнь факт'!C43</f>
        <v>0</v>
      </c>
      <c r="D43" s="10">
        <f>'апрель фaкт'!D43+'май факт'!D43+'июнь факт'!D43</f>
        <v>0</v>
      </c>
      <c r="E43" s="10">
        <f>'апрель фaкт'!E43+'май факт'!E43+'июнь факт'!E43</f>
        <v>0</v>
      </c>
      <c r="F43" s="19">
        <f>'апрель фaкт'!F43+'май факт'!F43+'июнь факт'!F43</f>
        <v>0</v>
      </c>
    </row>
    <row r="44" spans="1:6" s="2" customFormat="1" ht="19.5" customHeight="1">
      <c r="A44" s="21" t="s">
        <v>17</v>
      </c>
      <c r="B44" s="5">
        <f t="shared" si="1"/>
        <v>0</v>
      </c>
      <c r="C44" s="10">
        <f>'апрель фaкт'!C44+'май факт'!C44+'июнь факт'!C44</f>
        <v>0</v>
      </c>
      <c r="D44" s="10">
        <f>'апрель фaкт'!D44+'май факт'!D44+'июнь факт'!D44</f>
        <v>0</v>
      </c>
      <c r="E44" s="10">
        <f>'апрель фaкт'!E44+'май факт'!E44+'июнь факт'!E44</f>
        <v>0</v>
      </c>
      <c r="F44" s="19">
        <f>'апрель фaкт'!F44+'май факт'!F44+'июнь факт'!F44</f>
        <v>0</v>
      </c>
    </row>
    <row r="45" spans="1:6" s="2" customFormat="1" ht="24.75" customHeight="1">
      <c r="A45" s="153" t="s">
        <v>10</v>
      </c>
      <c r="B45" s="5">
        <f t="shared" si="1"/>
        <v>2627.9429999999998</v>
      </c>
      <c r="C45" s="17">
        <f>C46+C47</f>
        <v>0</v>
      </c>
      <c r="D45" s="17">
        <f>D46+D47</f>
        <v>0</v>
      </c>
      <c r="E45" s="17">
        <f>E46+E47</f>
        <v>1221.029</v>
      </c>
      <c r="F45" s="18">
        <f>F46+F47</f>
        <v>1406.9139999999998</v>
      </c>
    </row>
    <row r="46" spans="1:6" s="2" customFormat="1" ht="24.75" customHeight="1">
      <c r="A46" s="21" t="s">
        <v>18</v>
      </c>
      <c r="B46" s="5">
        <f t="shared" si="1"/>
        <v>1466.3829999999998</v>
      </c>
      <c r="C46" s="8">
        <f>'апрель фaкт'!C46+'май факт'!C46+'июнь факт'!C46</f>
        <v>0</v>
      </c>
      <c r="D46" s="8">
        <f>'апрель фaкт'!D46+'май факт'!D46+'июнь факт'!D46</f>
        <v>0</v>
      </c>
      <c r="E46" s="8">
        <f>'апрель фaкт'!E46+'май факт'!E46+'июнь факт'!E46</f>
        <v>1161.242</v>
      </c>
      <c r="F46" s="9">
        <f>'апрель фaкт'!F46+'май факт'!F46+'июнь факт'!F46</f>
        <v>305.14099999999996</v>
      </c>
    </row>
    <row r="47" spans="1:6" s="2" customFormat="1" ht="24.75" customHeight="1">
      <c r="A47" s="21" t="s">
        <v>15</v>
      </c>
      <c r="B47" s="5">
        <f t="shared" si="1"/>
        <v>1161.56</v>
      </c>
      <c r="C47" s="8">
        <f>C48+C49</f>
        <v>0</v>
      </c>
      <c r="D47" s="17">
        <f>D48+D49</f>
        <v>0</v>
      </c>
      <c r="E47" s="17">
        <f>E48+E49</f>
        <v>59.787</v>
      </c>
      <c r="F47" s="18">
        <f>F48+F49</f>
        <v>1101.773</v>
      </c>
    </row>
    <row r="48" spans="1:6" s="2" customFormat="1" ht="24.75" customHeight="1">
      <c r="A48" s="21" t="s">
        <v>16</v>
      </c>
      <c r="B48" s="5">
        <f t="shared" si="1"/>
        <v>902.2489999999999</v>
      </c>
      <c r="C48" s="10">
        <f>'апрель фaкт'!C48+'май факт'!C48+'июнь факт'!C48</f>
        <v>0</v>
      </c>
      <c r="D48" s="10">
        <f>'апрель фaкт'!D48+'май факт'!D48+'июнь факт'!D48</f>
        <v>0</v>
      </c>
      <c r="E48" s="10">
        <f>'апрель фaкт'!E48+'май факт'!E48+'июнь факт'!E48</f>
        <v>56.649</v>
      </c>
      <c r="F48" s="19">
        <f>'апрель фaкт'!F48+'май факт'!F48+'июнь факт'!F48</f>
        <v>845.5999999999999</v>
      </c>
    </row>
    <row r="49" spans="1:6" s="2" customFormat="1" ht="24.75" customHeight="1">
      <c r="A49" s="21" t="s">
        <v>17</v>
      </c>
      <c r="B49" s="5">
        <f t="shared" si="1"/>
        <v>259.311</v>
      </c>
      <c r="C49" s="10">
        <f>'апрель фaкт'!C49+'май факт'!C49+'июнь факт'!C49</f>
        <v>0</v>
      </c>
      <c r="D49" s="10">
        <f>'апрель фaкт'!D49+'май факт'!D49+'июнь факт'!D49</f>
        <v>0</v>
      </c>
      <c r="E49" s="10">
        <f>'апрель фaкт'!E49+'май факт'!E49+'июнь факт'!E49</f>
        <v>3.1380000000000003</v>
      </c>
      <c r="F49" s="19">
        <f>'апрель фaкт'!F49+'май факт'!F49+'июнь факт'!F49</f>
        <v>256.173</v>
      </c>
    </row>
    <row r="50" spans="1:6" s="2" customFormat="1" ht="24.75" customHeight="1">
      <c r="A50" s="153" t="s">
        <v>5</v>
      </c>
      <c r="B50" s="5">
        <f t="shared" si="1"/>
        <v>6349.125</v>
      </c>
      <c r="C50" s="17">
        <f>C51+C52</f>
        <v>995.982</v>
      </c>
      <c r="D50" s="17">
        <f>D51+D52</f>
        <v>0</v>
      </c>
      <c r="E50" s="17">
        <f>E51+E52</f>
        <v>2940.8630000000003</v>
      </c>
      <c r="F50" s="18">
        <f>F51+F52</f>
        <v>2412.2799999999997</v>
      </c>
    </row>
    <row r="51" spans="1:6" s="2" customFormat="1" ht="24.75" customHeight="1">
      <c r="A51" s="21" t="s">
        <v>18</v>
      </c>
      <c r="B51" s="5">
        <f t="shared" si="1"/>
        <v>3734.031</v>
      </c>
      <c r="C51" s="8">
        <f>'апрель фaкт'!C51+'май факт'!C51+'июнь факт'!C51</f>
        <v>995.982</v>
      </c>
      <c r="D51" s="8">
        <f>'апрель фaкт'!D51+'май факт'!D51+'июнь факт'!D51</f>
        <v>0</v>
      </c>
      <c r="E51" s="8">
        <f>'апрель фaкт'!E51+'май факт'!E51+'июнь факт'!E51</f>
        <v>1578.293</v>
      </c>
      <c r="F51" s="9">
        <f>'апрель фaкт'!F51+'май факт'!F51+'июнь факт'!F51</f>
        <v>1159.756</v>
      </c>
    </row>
    <row r="52" spans="1:6" s="2" customFormat="1" ht="24.75" customHeight="1">
      <c r="A52" s="21" t="s">
        <v>15</v>
      </c>
      <c r="B52" s="5">
        <f t="shared" si="1"/>
        <v>2615.094</v>
      </c>
      <c r="C52" s="8">
        <f>C53+C54</f>
        <v>0</v>
      </c>
      <c r="D52" s="17">
        <f>D53+D54</f>
        <v>0</v>
      </c>
      <c r="E52" s="17">
        <f>E53+E54</f>
        <v>1362.5700000000002</v>
      </c>
      <c r="F52" s="18">
        <f>F53+F54</f>
        <v>1252.524</v>
      </c>
    </row>
    <row r="53" spans="1:6" s="2" customFormat="1" ht="24.75" customHeight="1">
      <c r="A53" s="21" t="s">
        <v>16</v>
      </c>
      <c r="B53" s="5">
        <f t="shared" si="1"/>
        <v>2607.174</v>
      </c>
      <c r="C53" s="10">
        <f>'апрель фaкт'!C53+'май факт'!C53+'июнь факт'!C53</f>
        <v>0</v>
      </c>
      <c r="D53" s="10">
        <f>'апрель фaкт'!D53+'май факт'!D53+'июнь факт'!D53</f>
        <v>0</v>
      </c>
      <c r="E53" s="10">
        <f>'апрель фaкт'!E53+'май факт'!E53+'июнь факт'!E53</f>
        <v>1354.65</v>
      </c>
      <c r="F53" s="19">
        <f>'апрель фaкт'!F53+'май факт'!F53+'июнь факт'!F53</f>
        <v>1252.524</v>
      </c>
    </row>
    <row r="54" spans="1:6" s="2" customFormat="1" ht="24.75" customHeight="1">
      <c r="A54" s="21" t="s">
        <v>17</v>
      </c>
      <c r="B54" s="5">
        <f t="shared" si="1"/>
        <v>7.92</v>
      </c>
      <c r="C54" s="10">
        <f>'апрель фaкт'!C54+'май факт'!C54+'июнь факт'!C54</f>
        <v>0</v>
      </c>
      <c r="D54" s="10">
        <f>'апрель фaкт'!D54+'май факт'!D54+'июнь факт'!D54</f>
        <v>0</v>
      </c>
      <c r="E54" s="10">
        <f>'апрель фaкт'!E54+'май факт'!E54+'июнь факт'!E54</f>
        <v>7.92</v>
      </c>
      <c r="F54" s="19">
        <f>'апрель фaкт'!F54+'май факт'!F54+'июнь факт'!F54</f>
        <v>0</v>
      </c>
    </row>
    <row r="55" spans="1:6" s="2" customFormat="1" ht="50.25" customHeight="1">
      <c r="A55" s="153" t="s">
        <v>11</v>
      </c>
      <c r="B55" s="5">
        <f t="shared" si="1"/>
        <v>15547.437999999998</v>
      </c>
      <c r="C55" s="17">
        <f>C56+C57</f>
        <v>0</v>
      </c>
      <c r="D55" s="17">
        <f>D56+D57</f>
        <v>0</v>
      </c>
      <c r="E55" s="17">
        <f>E56+E57</f>
        <v>3762.1259999999997</v>
      </c>
      <c r="F55" s="18">
        <f>F56+F57</f>
        <v>11785.311999999998</v>
      </c>
    </row>
    <row r="56" spans="1:6" s="2" customFormat="1" ht="26.25" customHeight="1">
      <c r="A56" s="21" t="s">
        <v>18</v>
      </c>
      <c r="B56" s="5">
        <f t="shared" si="1"/>
        <v>7440.347</v>
      </c>
      <c r="C56" s="8">
        <f>'апрель фaкт'!C56+'май факт'!C56+'июнь факт'!C56</f>
        <v>0</v>
      </c>
      <c r="D56" s="8">
        <f>'апрель фaкт'!D56+'май факт'!D56+'июнь факт'!D56</f>
        <v>0</v>
      </c>
      <c r="E56" s="8">
        <f>'апрель фaкт'!E56+'май факт'!E56+'июнь факт'!E56</f>
        <v>3334.497</v>
      </c>
      <c r="F56" s="9">
        <f>'апрель фaкт'!F56+'май факт'!F56+'июнь факт'!F56</f>
        <v>4105.849999999999</v>
      </c>
    </row>
    <row r="57" spans="1:6" s="2" customFormat="1" ht="26.25" customHeight="1">
      <c r="A57" s="21" t="s">
        <v>15</v>
      </c>
      <c r="B57" s="5">
        <f t="shared" si="1"/>
        <v>8107.090999999999</v>
      </c>
      <c r="C57" s="8">
        <f>C58+C59</f>
        <v>0</v>
      </c>
      <c r="D57" s="17">
        <f>D58+D59</f>
        <v>0</v>
      </c>
      <c r="E57" s="17">
        <f>E58+E59</f>
        <v>427.62899999999996</v>
      </c>
      <c r="F57" s="18">
        <f>F58+F59</f>
        <v>7679.4619999999995</v>
      </c>
    </row>
    <row r="58" spans="1:6" s="2" customFormat="1" ht="26.25" customHeight="1">
      <c r="A58" s="21" t="s">
        <v>16</v>
      </c>
      <c r="B58" s="5">
        <f t="shared" si="1"/>
        <v>1834.1620000000003</v>
      </c>
      <c r="C58" s="10">
        <f>'апрель фaкт'!C58+'май факт'!C58+'июнь факт'!C58</f>
        <v>0</v>
      </c>
      <c r="D58" s="10">
        <f>'апрель фaкт'!D58+'май факт'!D58+'июнь факт'!D58</f>
        <v>0</v>
      </c>
      <c r="E58" s="10">
        <f>'апрель фaкт'!E58+'май факт'!E58+'июнь факт'!E58</f>
        <v>76.51499999999999</v>
      </c>
      <c r="F58" s="19">
        <f>'апрель фaкт'!F58+'май факт'!F58+'июнь факт'!F58</f>
        <v>1757.6470000000002</v>
      </c>
    </row>
    <row r="59" spans="1:6" s="2" customFormat="1" ht="26.25" customHeight="1">
      <c r="A59" s="21" t="s">
        <v>17</v>
      </c>
      <c r="B59" s="5">
        <f t="shared" si="1"/>
        <v>6272.928999999999</v>
      </c>
      <c r="C59" s="10">
        <f>'апрель фaкт'!C59+'май факт'!C59+'июнь факт'!C59</f>
        <v>0</v>
      </c>
      <c r="D59" s="10">
        <f>'апрель фaкт'!D59+'май факт'!D59+'июнь факт'!D59</f>
        <v>0</v>
      </c>
      <c r="E59" s="10">
        <f>'апрель фaкт'!E59+'май факт'!E59+'июнь факт'!E59</f>
        <v>351.114</v>
      </c>
      <c r="F59" s="19">
        <f>'апрель фaкт'!F59+'май факт'!F59+'июнь факт'!F59</f>
        <v>5921.815</v>
      </c>
    </row>
    <row r="60" spans="1:6" s="2" customFormat="1" ht="24.75" customHeight="1">
      <c r="A60" s="54" t="s">
        <v>39</v>
      </c>
      <c r="B60" s="5">
        <f t="shared" si="1"/>
        <v>416.478</v>
      </c>
      <c r="C60" s="17">
        <f>C61+C62</f>
        <v>0</v>
      </c>
      <c r="D60" s="17">
        <f>D61+D62</f>
        <v>0</v>
      </c>
      <c r="E60" s="17">
        <f>E61+E62</f>
        <v>202.644</v>
      </c>
      <c r="F60" s="18">
        <f>F61+F62</f>
        <v>213.834</v>
      </c>
    </row>
    <row r="61" spans="1:6" s="2" customFormat="1" ht="21.75" customHeight="1">
      <c r="A61" s="21" t="s">
        <v>18</v>
      </c>
      <c r="B61" s="5">
        <f t="shared" si="1"/>
        <v>416.478</v>
      </c>
      <c r="C61" s="8">
        <f>'апрель фaкт'!C61+'май факт'!C61+'июнь факт'!C61</f>
        <v>0</v>
      </c>
      <c r="D61" s="8">
        <f>'апрель фaкт'!D61+'май факт'!D61+'июнь факт'!D61</f>
        <v>0</v>
      </c>
      <c r="E61" s="8">
        <f>'апрель фaкт'!E61+'май факт'!E61+'июнь факт'!E61</f>
        <v>202.644</v>
      </c>
      <c r="F61" s="9">
        <f>'апрель фaкт'!F61+'май факт'!F61+'июнь факт'!F61</f>
        <v>213.834</v>
      </c>
    </row>
    <row r="62" spans="1:6" s="2" customFormat="1" ht="16.5" customHeight="1">
      <c r="A62" s="21" t="s">
        <v>15</v>
      </c>
      <c r="B62" s="5">
        <f t="shared" si="1"/>
        <v>0</v>
      </c>
      <c r="C62" s="8">
        <f>C63+C64</f>
        <v>0</v>
      </c>
      <c r="D62" s="17">
        <f>D63+D64</f>
        <v>0</v>
      </c>
      <c r="E62" s="17">
        <f>E63+E64</f>
        <v>0</v>
      </c>
      <c r="F62" s="18">
        <f>F63+F64</f>
        <v>0</v>
      </c>
    </row>
    <row r="63" spans="1:6" s="2" customFormat="1" ht="18" customHeight="1">
      <c r="A63" s="21" t="s">
        <v>16</v>
      </c>
      <c r="B63" s="5">
        <f t="shared" si="1"/>
        <v>0</v>
      </c>
      <c r="C63" s="10">
        <f>'апрель фaкт'!C63+'май факт'!C63+'июнь факт'!C63</f>
        <v>0</v>
      </c>
      <c r="D63" s="10">
        <f>'апрель фaкт'!D63+'май факт'!D63+'июнь факт'!D63</f>
        <v>0</v>
      </c>
      <c r="E63" s="10">
        <f>'апрель фaкт'!E63+'май факт'!E63+'июнь факт'!E63</f>
        <v>0</v>
      </c>
      <c r="F63" s="19">
        <f>'апрель фaкт'!F63+'май факт'!F63+'июнь факт'!F63</f>
        <v>0</v>
      </c>
    </row>
    <row r="64" spans="1:6" s="2" customFormat="1" ht="18" customHeight="1">
      <c r="A64" s="21" t="s">
        <v>17</v>
      </c>
      <c r="B64" s="5">
        <f t="shared" si="1"/>
        <v>0</v>
      </c>
      <c r="C64" s="10">
        <f>'апрель фaкт'!C64+'май факт'!C64+'июнь факт'!C64</f>
        <v>0</v>
      </c>
      <c r="D64" s="10">
        <f>'апрель фaкт'!D64+'май факт'!D64+'июнь факт'!D64</f>
        <v>0</v>
      </c>
      <c r="E64" s="10">
        <f>'апрель фaкт'!E64+'май факт'!E64+'июнь факт'!E64</f>
        <v>0</v>
      </c>
      <c r="F64" s="19">
        <f>'апрель фaкт'!F64+'май факт'!F64+'июнь факт'!F64</f>
        <v>0</v>
      </c>
    </row>
    <row r="65" spans="1:6" s="2" customFormat="1" ht="24.75" customHeight="1">
      <c r="A65" s="54" t="s">
        <v>4</v>
      </c>
      <c r="B65" s="5">
        <f t="shared" si="1"/>
        <v>2066.732</v>
      </c>
      <c r="C65" s="17">
        <f>C66+C67</f>
        <v>2066.732</v>
      </c>
      <c r="D65" s="17">
        <f>D66+D67</f>
        <v>0</v>
      </c>
      <c r="E65" s="17">
        <f>E66+E67</f>
        <v>0</v>
      </c>
      <c r="F65" s="18">
        <f>F66+F67</f>
        <v>0</v>
      </c>
    </row>
    <row r="66" spans="1:6" s="2" customFormat="1" ht="21.75" customHeight="1">
      <c r="A66" s="21" t="s">
        <v>18</v>
      </c>
      <c r="B66" s="5">
        <f t="shared" si="1"/>
        <v>2066.732</v>
      </c>
      <c r="C66" s="8">
        <f>'апрель фaкт'!C66+'май факт'!C66+'июнь факт'!C66</f>
        <v>2066.732</v>
      </c>
      <c r="D66" s="8">
        <f>'апрель фaкт'!D66+'май факт'!D66+'июнь факт'!D66</f>
        <v>0</v>
      </c>
      <c r="E66" s="8">
        <f>'апрель фaкт'!E66+'май факт'!E66+'июнь факт'!E66</f>
        <v>0</v>
      </c>
      <c r="F66" s="9">
        <f>'апрель фaкт'!F66+'май факт'!F66+'июнь факт'!F66</f>
        <v>0</v>
      </c>
    </row>
    <row r="67" spans="1:6" s="2" customFormat="1" ht="18" customHeight="1">
      <c r="A67" s="21" t="s">
        <v>15</v>
      </c>
      <c r="B67" s="5">
        <f t="shared" si="1"/>
        <v>0</v>
      </c>
      <c r="C67" s="8">
        <f>C68+C69</f>
        <v>0</v>
      </c>
      <c r="D67" s="17">
        <f>D68+D69</f>
        <v>0</v>
      </c>
      <c r="E67" s="17">
        <f>E68+E69</f>
        <v>0</v>
      </c>
      <c r="F67" s="18">
        <f>F68+F69</f>
        <v>0</v>
      </c>
    </row>
    <row r="68" spans="1:6" s="2" customFormat="1" ht="19.5" customHeight="1">
      <c r="A68" s="21" t="s">
        <v>16</v>
      </c>
      <c r="B68" s="5">
        <f t="shared" si="1"/>
        <v>0</v>
      </c>
      <c r="C68" s="10">
        <f>'апрель фaкт'!C68+'май факт'!C68+'июнь факт'!C68</f>
        <v>0</v>
      </c>
      <c r="D68" s="10">
        <f>'апрель фaкт'!D68+'май факт'!D68+'июнь факт'!D68</f>
        <v>0</v>
      </c>
      <c r="E68" s="10">
        <f>'апрель фaкт'!E68+'май факт'!E68+'июнь факт'!E68</f>
        <v>0</v>
      </c>
      <c r="F68" s="19">
        <f>'апрель фaкт'!F68+'май факт'!F68+'июнь факт'!F68</f>
        <v>0</v>
      </c>
    </row>
    <row r="69" spans="1:6" s="2" customFormat="1" ht="19.5" customHeight="1" thickBot="1">
      <c r="A69" s="22" t="s">
        <v>17</v>
      </c>
      <c r="B69" s="65">
        <f aca="true" t="shared" si="2" ref="B69:B78">C69+D69+E69+F69</f>
        <v>0</v>
      </c>
      <c r="C69" s="30">
        <f>'апрель фaкт'!C69+'май факт'!C69+'июнь факт'!C69</f>
        <v>0</v>
      </c>
      <c r="D69" s="30">
        <f>'апрель фaкт'!D69+'май факт'!D69+'июнь факт'!D69</f>
        <v>0</v>
      </c>
      <c r="E69" s="30">
        <f>'апрель фaкт'!E69+'май факт'!E69+'июнь факт'!E69</f>
        <v>0</v>
      </c>
      <c r="F69" s="31">
        <f>'апрель фaкт'!F69+'май факт'!F69+'июнь факт'!F69</f>
        <v>0</v>
      </c>
    </row>
    <row r="70" spans="1:6" s="70" customFormat="1" ht="23.25" customHeight="1">
      <c r="A70" s="140" t="s">
        <v>26</v>
      </c>
      <c r="B70" s="154">
        <f t="shared" si="2"/>
        <v>698.165</v>
      </c>
      <c r="C70" s="155">
        <f>'апрель фaкт'!C70+'май факт'!C70+'июнь факт'!C70</f>
        <v>0</v>
      </c>
      <c r="D70" s="155">
        <f>'апрель фaкт'!D70+'май факт'!D70+'июнь факт'!D70</f>
        <v>0</v>
      </c>
      <c r="E70" s="155">
        <f>'апрель фaкт'!E70+'май факт'!E70+'июнь факт'!E70</f>
        <v>698.165</v>
      </c>
      <c r="F70" s="156">
        <f>'апрель фaкт'!F70+'май факт'!F70+'июнь факт'!F70</f>
        <v>0</v>
      </c>
    </row>
    <row r="71" spans="1:6" s="70" customFormat="1" ht="23.25" customHeight="1">
      <c r="A71" s="54" t="s">
        <v>27</v>
      </c>
      <c r="B71" s="5">
        <f t="shared" si="2"/>
        <v>57.401999999999994</v>
      </c>
      <c r="C71" s="10">
        <f>'апрель фaкт'!C71+'май факт'!C71+'июнь факт'!C71</f>
        <v>0</v>
      </c>
      <c r="D71" s="10">
        <f>'апрель фaкт'!D71+'май факт'!D71+'июнь факт'!D71</f>
        <v>0</v>
      </c>
      <c r="E71" s="10">
        <f>'апрель фaкт'!E71+'май факт'!E71+'июнь факт'!E71</f>
        <v>57.401999999999994</v>
      </c>
      <c r="F71" s="19">
        <f>'апрель фaкт'!F71+'май факт'!F71+'июнь факт'!F71</f>
        <v>0</v>
      </c>
    </row>
    <row r="72" spans="1:6" s="70" customFormat="1" ht="23.25" customHeight="1">
      <c r="A72" s="54" t="s">
        <v>34</v>
      </c>
      <c r="B72" s="5">
        <f t="shared" si="2"/>
        <v>1635.424</v>
      </c>
      <c r="C72" s="10">
        <f>'апрель фaкт'!C72+'май факт'!C72+'июнь факт'!C72</f>
        <v>0</v>
      </c>
      <c r="D72" s="10">
        <f>'апрель фaкт'!D72+'май факт'!D72+'июнь факт'!D72</f>
        <v>0</v>
      </c>
      <c r="E72" s="10">
        <f>'апрель фaкт'!E72+'май факт'!E72+'июнь факт'!E72</f>
        <v>1446.966</v>
      </c>
      <c r="F72" s="19">
        <f>'апрель фaкт'!F72+'май факт'!F72+'июнь факт'!F72</f>
        <v>188.458</v>
      </c>
    </row>
    <row r="73" spans="1:6" s="70" customFormat="1" ht="23.25" customHeight="1">
      <c r="A73" s="62" t="s">
        <v>35</v>
      </c>
      <c r="B73" s="5">
        <f t="shared" si="2"/>
        <v>4357.599999999999</v>
      </c>
      <c r="C73" s="10">
        <f>'апрель фaкт'!C73+'май факт'!C73+'июнь факт'!C73</f>
        <v>4327.4</v>
      </c>
      <c r="D73" s="10">
        <f>'апрель фaкт'!D73+'май факт'!D73+'июнь факт'!D73</f>
        <v>0</v>
      </c>
      <c r="E73" s="10">
        <f>'апрель фaкт'!E73+'май факт'!E73+'июнь факт'!E73</f>
        <v>0</v>
      </c>
      <c r="F73" s="19">
        <f>'апрель фaкт'!F73+'май факт'!F73+'июнь факт'!F73</f>
        <v>30.2</v>
      </c>
    </row>
    <row r="74" spans="1:6" s="70" customFormat="1" ht="23.25" customHeight="1">
      <c r="A74" s="54" t="s">
        <v>28</v>
      </c>
      <c r="B74" s="5">
        <f t="shared" si="2"/>
        <v>2062.611</v>
      </c>
      <c r="C74" s="10">
        <f>'апрель фaкт'!C74+'май факт'!C74+'июнь факт'!C74</f>
        <v>1372.865</v>
      </c>
      <c r="D74" s="10">
        <f>'апрель фaкт'!D74+'май факт'!D74+'июнь факт'!D74</f>
        <v>0</v>
      </c>
      <c r="E74" s="10">
        <f>'апрель фaкт'!E74+'май факт'!E74+'июнь факт'!E74</f>
        <v>553.99</v>
      </c>
      <c r="F74" s="19">
        <f>'апрель фaкт'!F74+'май факт'!F74+'июнь факт'!F74</f>
        <v>135.756</v>
      </c>
    </row>
    <row r="75" spans="1:6" s="70" customFormat="1" ht="33" customHeight="1">
      <c r="A75" s="62" t="s">
        <v>29</v>
      </c>
      <c r="B75" s="104">
        <f t="shared" si="2"/>
        <v>1234.278</v>
      </c>
      <c r="C75" s="10">
        <f>'апрель фaкт'!C75+'май факт'!C75+'июнь факт'!C75</f>
        <v>0</v>
      </c>
      <c r="D75" s="10">
        <f>'апрель фaкт'!D75+'май факт'!D75+'июнь факт'!D75</f>
        <v>0</v>
      </c>
      <c r="E75" s="10">
        <f>'апрель фaкт'!E75+'май факт'!E75+'июнь факт'!E75</f>
        <v>1234.278</v>
      </c>
      <c r="F75" s="19">
        <f>'апрель фaкт'!F75+'май факт'!F75+'июнь факт'!F75</f>
        <v>0</v>
      </c>
    </row>
    <row r="76" spans="1:6" s="70" customFormat="1" ht="38.25" customHeight="1">
      <c r="A76" s="105" t="s">
        <v>30</v>
      </c>
      <c r="B76" s="104">
        <f t="shared" si="2"/>
        <v>153.388</v>
      </c>
      <c r="C76" s="10">
        <f>'апрель фaкт'!C76+'май факт'!C76+'июнь факт'!C76</f>
        <v>0</v>
      </c>
      <c r="D76" s="10">
        <f>'апрель фaкт'!D76+'май факт'!D76+'июнь факт'!D76</f>
        <v>0</v>
      </c>
      <c r="E76" s="10">
        <f>'апрель фaкт'!E76+'май факт'!E76+'июнь факт'!E76</f>
        <v>0</v>
      </c>
      <c r="F76" s="19">
        <f>'апрель фaкт'!F76+'май факт'!F76+'июнь факт'!F76</f>
        <v>153.388</v>
      </c>
    </row>
    <row r="77" spans="1:6" s="3" customFormat="1" ht="42" customHeight="1" thickBot="1">
      <c r="A77" s="106" t="s">
        <v>31</v>
      </c>
      <c r="B77" s="107">
        <f t="shared" si="2"/>
        <v>663.804</v>
      </c>
      <c r="C77" s="30">
        <f>'апрель фaкт'!C77+'май факт'!C77+'июнь факт'!C77</f>
        <v>0</v>
      </c>
      <c r="D77" s="30">
        <f>'апрель фaкт'!D77+'май факт'!D77+'июнь факт'!D77</f>
        <v>0</v>
      </c>
      <c r="E77" s="30">
        <f>'апрель фaкт'!E77+'май факт'!E77+'июнь факт'!E77</f>
        <v>27.267999999999997</v>
      </c>
      <c r="F77" s="31">
        <f>'апрель фaкт'!F77+'май факт'!F77+'июнь факт'!F77</f>
        <v>636.536</v>
      </c>
    </row>
    <row r="78" spans="1:6" s="3" customFormat="1" ht="18.75" thickBot="1">
      <c r="A78" s="110" t="s">
        <v>40</v>
      </c>
      <c r="B78" s="88">
        <f t="shared" si="2"/>
        <v>317865.255</v>
      </c>
      <c r="C78" s="89">
        <f>C5+C10+C15+C20+C25+C30+C35+C40+C45+C50+C55+C60+C65+C70+C71+C72+C73+C74+C75+C76+C77</f>
        <v>138725.299</v>
      </c>
      <c r="D78" s="89">
        <f>D5+D10+D15+D20+D25+D30+D35+D40+D45+D50+D55+D60+D65+D70+D71+D72+D73+D74+D75+D76+D77</f>
        <v>4361.878</v>
      </c>
      <c r="E78" s="89">
        <f>E5+E10+E15+E20+E25+E30+E35+E40+E45+E50+E55+E60+E65+E70+E71+E72+E73+E74+E75+E76+E77</f>
        <v>74214.43500000001</v>
      </c>
      <c r="F78" s="89">
        <f>F5+F10+F15+F20+F25+F30+F35+F40+F45+F50+F55+F60+F65+F70+F71+F72+F73+F74+F75+F76+F77</f>
        <v>100563.64300000001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9" sqref="D89"/>
    </sheetView>
  </sheetViews>
  <sheetFormatPr defaultColWidth="9.00390625" defaultRowHeight="12.75"/>
  <cols>
    <col min="1" max="1" width="58.37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19.375" style="0" customWidth="1"/>
  </cols>
  <sheetData>
    <row r="1" spans="1:6" s="76" customFormat="1" ht="47.25" customHeight="1">
      <c r="A1" s="238" t="s">
        <v>44</v>
      </c>
      <c r="B1" s="238"/>
      <c r="C1" s="238"/>
      <c r="D1" s="238"/>
      <c r="E1" s="238"/>
      <c r="F1" s="238"/>
    </row>
    <row r="2" spans="1:6" s="77" customFormat="1" ht="23.25">
      <c r="A2" s="239" t="s">
        <v>52</v>
      </c>
      <c r="B2" s="239"/>
      <c r="C2" s="239"/>
      <c r="D2" s="240"/>
      <c r="E2" s="240"/>
      <c r="F2" s="240"/>
    </row>
    <row r="3" s="3" customFormat="1" ht="18.75" thickBot="1">
      <c r="F3" s="141" t="s">
        <v>42</v>
      </c>
    </row>
    <row r="4" spans="1:6" s="1" customFormat="1" ht="29.25" customHeight="1" thickBot="1">
      <c r="A4" s="78" t="s">
        <v>24</v>
      </c>
      <c r="B4" s="122"/>
      <c r="C4" s="92" t="s">
        <v>0</v>
      </c>
      <c r="D4" s="92" t="s">
        <v>1</v>
      </c>
      <c r="E4" s="92" t="s">
        <v>2</v>
      </c>
      <c r="F4" s="93" t="s">
        <v>3</v>
      </c>
    </row>
    <row r="5" spans="1:6" s="2" customFormat="1" ht="45.75" customHeight="1">
      <c r="A5" s="152" t="s">
        <v>7</v>
      </c>
      <c r="B5" s="95">
        <f aca="true" t="shared" si="0" ref="B5:B36">C5+D5+E5+F5</f>
        <v>504273.207</v>
      </c>
      <c r="C5" s="115">
        <f>C6+C7</f>
        <v>224664.104</v>
      </c>
      <c r="D5" s="115">
        <f>D6+D7</f>
        <v>8684.211</v>
      </c>
      <c r="E5" s="115">
        <f>E6+E7</f>
        <v>120779.9</v>
      </c>
      <c r="F5" s="116">
        <f>F6+F7</f>
        <v>150144.99200000003</v>
      </c>
    </row>
    <row r="6" spans="1:6" s="2" customFormat="1" ht="27" customHeight="1">
      <c r="A6" s="21" t="s">
        <v>18</v>
      </c>
      <c r="B6" s="5">
        <f t="shared" si="0"/>
        <v>412499.224</v>
      </c>
      <c r="C6" s="8">
        <f>'1 квартал'!C6+'2 квартал'!C6</f>
        <v>222979.778</v>
      </c>
      <c r="D6" s="8">
        <f>'1 квартал'!D6+'2 квартал'!D6</f>
        <v>8677.371</v>
      </c>
      <c r="E6" s="8">
        <f>'1 квартал'!E6+'2 квартал'!E6</f>
        <v>116327.707</v>
      </c>
      <c r="F6" s="9">
        <f>'1 квартал'!F6+'2 квартал'!F6</f>
        <v>64514.368</v>
      </c>
    </row>
    <row r="7" spans="1:6" s="2" customFormat="1" ht="20.25" customHeight="1">
      <c r="A7" s="21" t="s">
        <v>15</v>
      </c>
      <c r="B7" s="5">
        <f t="shared" si="0"/>
        <v>91773.98300000001</v>
      </c>
      <c r="C7" s="8">
        <f>C8+C9</f>
        <v>1684.326</v>
      </c>
      <c r="D7" s="17">
        <f>D8+D9</f>
        <v>6.840000000000001</v>
      </c>
      <c r="E7" s="17">
        <f>E8+E9</f>
        <v>4452.193</v>
      </c>
      <c r="F7" s="18">
        <f>F8+F9</f>
        <v>85630.62400000001</v>
      </c>
    </row>
    <row r="8" spans="1:6" s="2" customFormat="1" ht="21.75" customHeight="1">
      <c r="A8" s="21" t="s">
        <v>16</v>
      </c>
      <c r="B8" s="5">
        <f t="shared" si="0"/>
        <v>26536.508</v>
      </c>
      <c r="C8" s="10">
        <f>'1 квартал'!C8+'2 квартал'!C8</f>
        <v>299.58500000000004</v>
      </c>
      <c r="D8" s="10">
        <f>'1 квартал'!D8+'2 квартал'!D8</f>
        <v>0</v>
      </c>
      <c r="E8" s="10">
        <f>'1 квартал'!E8+'2 квартал'!E8</f>
        <v>658.0619999999999</v>
      </c>
      <c r="F8" s="19">
        <f>'1 квартал'!F8+'2 квартал'!F8</f>
        <v>25578.861</v>
      </c>
    </row>
    <row r="9" spans="1:6" s="2" customFormat="1" ht="24.75" customHeight="1">
      <c r="A9" s="21" t="s">
        <v>17</v>
      </c>
      <c r="B9" s="5">
        <f t="shared" si="0"/>
        <v>65237.475000000006</v>
      </c>
      <c r="C9" s="10">
        <f>'1 квартал'!C9+'2 квартал'!C9</f>
        <v>1384.741</v>
      </c>
      <c r="D9" s="10">
        <f>'1 квартал'!D9+'2 квартал'!D9</f>
        <v>6.840000000000001</v>
      </c>
      <c r="E9" s="10">
        <f>'1 квартал'!E9+'2 квартал'!E9</f>
        <v>3794.1310000000003</v>
      </c>
      <c r="F9" s="19">
        <f>'1 квартал'!F9+'2 квартал'!F9</f>
        <v>60051.763000000006</v>
      </c>
    </row>
    <row r="10" spans="1:6" s="2" customFormat="1" ht="34.5" customHeight="1">
      <c r="A10" s="153" t="s">
        <v>13</v>
      </c>
      <c r="B10" s="5">
        <f t="shared" si="0"/>
        <v>35010.297</v>
      </c>
      <c r="C10" s="17">
        <f>C11+C12</f>
        <v>5051.619999999999</v>
      </c>
      <c r="D10" s="17">
        <f>D11+D12</f>
        <v>0</v>
      </c>
      <c r="E10" s="17">
        <f>E11+E12</f>
        <v>12661.955</v>
      </c>
      <c r="F10" s="18">
        <f>F11+F12</f>
        <v>17296.722</v>
      </c>
    </row>
    <row r="11" spans="1:6" s="2" customFormat="1" ht="21.75" customHeight="1">
      <c r="A11" s="21" t="s">
        <v>18</v>
      </c>
      <c r="B11" s="5">
        <f t="shared" si="0"/>
        <v>22128.182999999997</v>
      </c>
      <c r="C11" s="8">
        <f>'1 квартал'!C11+'2 квартал'!C11</f>
        <v>4555.067999999999</v>
      </c>
      <c r="D11" s="8">
        <f>'1 квартал'!D11+'2 квартал'!D11</f>
        <v>0</v>
      </c>
      <c r="E11" s="8">
        <f>'1 квартал'!E11+'2 квартал'!E11</f>
        <v>10629.483</v>
      </c>
      <c r="F11" s="9">
        <f>'1 квартал'!F11+'2 квартал'!F11</f>
        <v>6943.632</v>
      </c>
    </row>
    <row r="12" spans="1:6" s="2" customFormat="1" ht="19.5" customHeight="1">
      <c r="A12" s="21" t="s">
        <v>15</v>
      </c>
      <c r="B12" s="5">
        <f t="shared" si="0"/>
        <v>12882.114000000001</v>
      </c>
      <c r="C12" s="8">
        <f>C13+C14</f>
        <v>496.552</v>
      </c>
      <c r="D12" s="17">
        <f>D13+D14</f>
        <v>0</v>
      </c>
      <c r="E12" s="17">
        <f>E13+E14</f>
        <v>2032.4720000000002</v>
      </c>
      <c r="F12" s="18">
        <f>F13+F14</f>
        <v>10353.09</v>
      </c>
    </row>
    <row r="13" spans="1:6" s="2" customFormat="1" ht="17.25" customHeight="1">
      <c r="A13" s="21" t="s">
        <v>16</v>
      </c>
      <c r="B13" s="5">
        <f t="shared" si="0"/>
        <v>7290.5070000000005</v>
      </c>
      <c r="C13" s="10">
        <f>'1 квартал'!C13+'2 квартал'!C13</f>
        <v>0</v>
      </c>
      <c r="D13" s="10">
        <f>'1 квартал'!D13+'2 квартал'!D13</f>
        <v>0</v>
      </c>
      <c r="E13" s="10">
        <f>'1 квартал'!E13+'2 квартал'!E13</f>
        <v>372.065</v>
      </c>
      <c r="F13" s="19">
        <f>'1 квартал'!F13+'2 квартал'!F13</f>
        <v>6918.442000000001</v>
      </c>
    </row>
    <row r="14" spans="1:6" s="2" customFormat="1" ht="17.25" customHeight="1">
      <c r="A14" s="21" t="s">
        <v>17</v>
      </c>
      <c r="B14" s="5">
        <f t="shared" si="0"/>
        <v>5591.607</v>
      </c>
      <c r="C14" s="10">
        <f>'1 квартал'!C14+'2 квартал'!C14</f>
        <v>496.552</v>
      </c>
      <c r="D14" s="10">
        <f>'1 квартал'!D14+'2 квартал'!D14</f>
        <v>0</v>
      </c>
      <c r="E14" s="10">
        <f>'1 квартал'!E14+'2 квартал'!E14</f>
        <v>1660.4070000000002</v>
      </c>
      <c r="F14" s="19">
        <f>'1 квартал'!F14+'2 квартал'!F14</f>
        <v>3434.648</v>
      </c>
    </row>
    <row r="15" spans="1:6" s="2" customFormat="1" ht="35.25" customHeight="1">
      <c r="A15" s="153" t="s">
        <v>6</v>
      </c>
      <c r="B15" s="5">
        <f t="shared" si="0"/>
        <v>8430.043</v>
      </c>
      <c r="C15" s="17">
        <f>C16+C17</f>
        <v>8430.043</v>
      </c>
      <c r="D15" s="17">
        <f>D16+D17</f>
        <v>0</v>
      </c>
      <c r="E15" s="17">
        <f>E16+E17</f>
        <v>0</v>
      </c>
      <c r="F15" s="18">
        <f>F16+F17</f>
        <v>0</v>
      </c>
    </row>
    <row r="16" spans="1:6" s="2" customFormat="1" ht="19.5" customHeight="1">
      <c r="A16" s="21" t="s">
        <v>18</v>
      </c>
      <c r="B16" s="5">
        <f t="shared" si="0"/>
        <v>8428.083</v>
      </c>
      <c r="C16" s="8">
        <f>'1 квартал'!C16+'2 квартал'!C16</f>
        <v>8428.083</v>
      </c>
      <c r="D16" s="8">
        <f>'1 квартал'!D16+'2 квартал'!D16</f>
        <v>0</v>
      </c>
      <c r="E16" s="8">
        <f>'1 квартал'!E16+'2 квартал'!E16</f>
        <v>0</v>
      </c>
      <c r="F16" s="9">
        <f>'1 квартал'!F16+'2 квартал'!F16</f>
        <v>0</v>
      </c>
    </row>
    <row r="17" spans="1:6" s="2" customFormat="1" ht="18" customHeight="1">
      <c r="A17" s="21" t="s">
        <v>15</v>
      </c>
      <c r="B17" s="5">
        <f t="shared" si="0"/>
        <v>1.96</v>
      </c>
      <c r="C17" s="8">
        <f>C18+C19</f>
        <v>1.96</v>
      </c>
      <c r="D17" s="17">
        <f>D18+D19</f>
        <v>0</v>
      </c>
      <c r="E17" s="17">
        <f>E18+E19</f>
        <v>0</v>
      </c>
      <c r="F17" s="18">
        <f>F18+F19</f>
        <v>0</v>
      </c>
    </row>
    <row r="18" spans="1:6" s="2" customFormat="1" ht="19.5" customHeight="1">
      <c r="A18" s="21" t="s">
        <v>16</v>
      </c>
      <c r="B18" s="5">
        <f t="shared" si="0"/>
        <v>1.96</v>
      </c>
      <c r="C18" s="10">
        <f>'1 квартал'!C18+'2 квартал'!C18</f>
        <v>1.96</v>
      </c>
      <c r="D18" s="10">
        <f>'1 квартал'!D18+'2 квартал'!D18</f>
        <v>0</v>
      </c>
      <c r="E18" s="10">
        <f>'1 квартал'!E18+'2 квартал'!E18</f>
        <v>0</v>
      </c>
      <c r="F18" s="19">
        <f>'1 квартал'!F18+'2 квартал'!F18</f>
        <v>0</v>
      </c>
    </row>
    <row r="19" spans="1:6" s="2" customFormat="1" ht="19.5" customHeight="1">
      <c r="A19" s="21" t="s">
        <v>17</v>
      </c>
      <c r="B19" s="5">
        <f t="shared" si="0"/>
        <v>0</v>
      </c>
      <c r="C19" s="10">
        <f>'1 квартал'!C19+'2 квартал'!C19</f>
        <v>0</v>
      </c>
      <c r="D19" s="10">
        <f>'1 квартал'!D19+'2 квартал'!D19</f>
        <v>0</v>
      </c>
      <c r="E19" s="10">
        <f>'1 квартал'!E19+'2 квартал'!E19</f>
        <v>0</v>
      </c>
      <c r="F19" s="19">
        <f>'1 квартал'!F19+'2 квартал'!F19</f>
        <v>0</v>
      </c>
    </row>
    <row r="20" spans="1:6" s="2" customFormat="1" ht="36" customHeight="1">
      <c r="A20" s="153" t="s">
        <v>36</v>
      </c>
      <c r="B20" s="5">
        <f t="shared" si="0"/>
        <v>4692.006</v>
      </c>
      <c r="C20" s="17">
        <f>C21+C22</f>
        <v>61.538999999999994</v>
      </c>
      <c r="D20" s="17">
        <f>D21+D22</f>
        <v>4023.257</v>
      </c>
      <c r="E20" s="17">
        <f>E21+E22</f>
        <v>169.618</v>
      </c>
      <c r="F20" s="18">
        <f>F21+F22</f>
        <v>437.592</v>
      </c>
    </row>
    <row r="21" spans="1:6" s="2" customFormat="1" ht="21.75" customHeight="1">
      <c r="A21" s="21" t="s">
        <v>18</v>
      </c>
      <c r="B21" s="5">
        <f t="shared" si="0"/>
        <v>4574.926</v>
      </c>
      <c r="C21" s="8">
        <f>'1 квартал'!C21+'2 квартал'!C21</f>
        <v>61.538999999999994</v>
      </c>
      <c r="D21" s="8">
        <f>'1 квартал'!D21+'2 квартал'!D21</f>
        <v>4023.257</v>
      </c>
      <c r="E21" s="8">
        <f>'1 квартал'!E21+'2 квартал'!E21</f>
        <v>169.618</v>
      </c>
      <c r="F21" s="9">
        <f>'1 квартал'!F21+'2 квартал'!F21</f>
        <v>320.512</v>
      </c>
    </row>
    <row r="22" spans="1:6" s="2" customFormat="1" ht="21" customHeight="1">
      <c r="A22" s="21" t="s">
        <v>15</v>
      </c>
      <c r="B22" s="5">
        <f t="shared" si="0"/>
        <v>117.08000000000001</v>
      </c>
      <c r="C22" s="8">
        <f>C23+C24</f>
        <v>0</v>
      </c>
      <c r="D22" s="17">
        <f>D23+D24</f>
        <v>0</v>
      </c>
      <c r="E22" s="17">
        <f>E23+E24</f>
        <v>0</v>
      </c>
      <c r="F22" s="18">
        <f>F23+F24</f>
        <v>117.08000000000001</v>
      </c>
    </row>
    <row r="23" spans="1:6" s="2" customFormat="1" ht="21.75" customHeight="1">
      <c r="A23" s="21" t="s">
        <v>16</v>
      </c>
      <c r="B23" s="5">
        <f t="shared" si="0"/>
        <v>117.08000000000001</v>
      </c>
      <c r="C23" s="10">
        <f>'1 квартал'!C23+'2 квартал'!C23</f>
        <v>0</v>
      </c>
      <c r="D23" s="10">
        <f>'1 квартал'!D23+'2 квартал'!D23</f>
        <v>0</v>
      </c>
      <c r="E23" s="10">
        <f>'1 квартал'!E23+'2 квартал'!E23</f>
        <v>0</v>
      </c>
      <c r="F23" s="19">
        <f>'1 квартал'!F23+'2 квартал'!F23</f>
        <v>117.08000000000001</v>
      </c>
    </row>
    <row r="24" spans="1:6" s="2" customFormat="1" ht="21" customHeight="1">
      <c r="A24" s="21" t="s">
        <v>17</v>
      </c>
      <c r="B24" s="5">
        <f t="shared" si="0"/>
        <v>0</v>
      </c>
      <c r="C24" s="10">
        <f>'1 квартал'!C24+'2 квартал'!C24</f>
        <v>0</v>
      </c>
      <c r="D24" s="10">
        <f>'1 квартал'!D24+'2 квартал'!D24</f>
        <v>0</v>
      </c>
      <c r="E24" s="10">
        <f>'1 квартал'!E24+'2 квартал'!E24</f>
        <v>0</v>
      </c>
      <c r="F24" s="19">
        <f>'1 квартал'!F24+'2 квартал'!F24</f>
        <v>0</v>
      </c>
    </row>
    <row r="25" spans="1:6" s="2" customFormat="1" ht="41.25" customHeight="1">
      <c r="A25" s="153" t="s">
        <v>8</v>
      </c>
      <c r="B25" s="5">
        <f t="shared" si="0"/>
        <v>74944.76699999999</v>
      </c>
      <c r="C25" s="17">
        <f>C26+C27</f>
        <v>41072.59</v>
      </c>
      <c r="D25" s="17">
        <f>D26+D27</f>
        <v>0</v>
      </c>
      <c r="E25" s="17">
        <f>E26+E27</f>
        <v>12476.014000000001</v>
      </c>
      <c r="F25" s="18">
        <f>F26+F27</f>
        <v>21396.163</v>
      </c>
    </row>
    <row r="26" spans="1:6" s="2" customFormat="1" ht="19.5" customHeight="1">
      <c r="A26" s="21" t="s">
        <v>18</v>
      </c>
      <c r="B26" s="5">
        <f t="shared" si="0"/>
        <v>60585.585</v>
      </c>
      <c r="C26" s="8">
        <f>'1 квартал'!C26+'2 квартал'!C26</f>
        <v>41072.59</v>
      </c>
      <c r="D26" s="8">
        <f>'1 квартал'!D26+'2 квартал'!D26</f>
        <v>0</v>
      </c>
      <c r="E26" s="8">
        <f>'1 квартал'!E26+'2 квартал'!E26</f>
        <v>12286.43</v>
      </c>
      <c r="F26" s="9">
        <f>'1 квартал'!F26+'2 квартал'!F26</f>
        <v>7226.565</v>
      </c>
    </row>
    <row r="27" spans="1:6" s="2" customFormat="1" ht="24.75" customHeight="1">
      <c r="A27" s="21" t="s">
        <v>15</v>
      </c>
      <c r="B27" s="5">
        <f t="shared" si="0"/>
        <v>14359.182000000003</v>
      </c>
      <c r="C27" s="8">
        <f>C28+C29</f>
        <v>0</v>
      </c>
      <c r="D27" s="17">
        <f>D28+D29</f>
        <v>0</v>
      </c>
      <c r="E27" s="17">
        <f>E28+E29</f>
        <v>189.584</v>
      </c>
      <c r="F27" s="18">
        <f>F28+F29</f>
        <v>14169.598000000002</v>
      </c>
    </row>
    <row r="28" spans="1:6" s="2" customFormat="1" ht="25.5" customHeight="1">
      <c r="A28" s="21" t="s">
        <v>16</v>
      </c>
      <c r="B28" s="5">
        <f t="shared" si="0"/>
        <v>14178.374000000002</v>
      </c>
      <c r="C28" s="10">
        <f>'1 квартал'!C28+'2 квартал'!C28</f>
        <v>0</v>
      </c>
      <c r="D28" s="10">
        <f>'1 квартал'!D28+'2 квартал'!D28</f>
        <v>0</v>
      </c>
      <c r="E28" s="10">
        <f>'1 квартал'!E28+'2 квартал'!E28</f>
        <v>189.584</v>
      </c>
      <c r="F28" s="19">
        <f>'1 квартал'!F28+'2 квартал'!F28</f>
        <v>13988.79</v>
      </c>
    </row>
    <row r="29" spans="1:6" s="2" customFormat="1" ht="20.25" customHeight="1">
      <c r="A29" s="21" t="s">
        <v>17</v>
      </c>
      <c r="B29" s="5">
        <f t="shared" si="0"/>
        <v>180.808</v>
      </c>
      <c r="C29" s="10">
        <f>'1 квартал'!C29+'2 квартал'!C29</f>
        <v>0</v>
      </c>
      <c r="D29" s="10">
        <f>'1 квартал'!D29+'2 квартал'!D29</f>
        <v>0</v>
      </c>
      <c r="E29" s="10">
        <f>'1 квартал'!E29+'2 квартал'!E29</f>
        <v>0</v>
      </c>
      <c r="F29" s="19">
        <f>'1 квартал'!F29+'2 квартал'!F29</f>
        <v>180.808</v>
      </c>
    </row>
    <row r="30" spans="1:6" s="2" customFormat="1" ht="50.25" customHeight="1">
      <c r="A30" s="153" t="s">
        <v>9</v>
      </c>
      <c r="B30" s="5">
        <f t="shared" si="0"/>
        <v>725.1500000000001</v>
      </c>
      <c r="C30" s="17">
        <f>C31+C32</f>
        <v>0</v>
      </c>
      <c r="D30" s="17">
        <f>D31+D32</f>
        <v>0</v>
      </c>
      <c r="E30" s="17">
        <f>E31+E32</f>
        <v>506.24600000000004</v>
      </c>
      <c r="F30" s="18">
        <f>F31+F32</f>
        <v>218.904</v>
      </c>
    </row>
    <row r="31" spans="1:6" s="2" customFormat="1" ht="22.5" customHeight="1">
      <c r="A31" s="21" t="s">
        <v>18</v>
      </c>
      <c r="B31" s="5">
        <f t="shared" si="0"/>
        <v>578.626</v>
      </c>
      <c r="C31" s="8">
        <f>'1 квартал'!C31+'2 квартал'!C31</f>
        <v>0</v>
      </c>
      <c r="D31" s="8">
        <f>'1 квартал'!D31+'2 квартал'!D31</f>
        <v>0</v>
      </c>
      <c r="E31" s="8">
        <f>'1 квартал'!E31+'2 квартал'!E31</f>
        <v>506.24600000000004</v>
      </c>
      <c r="F31" s="9">
        <f>'1 квартал'!F31+'2 квартал'!F31</f>
        <v>72.38</v>
      </c>
    </row>
    <row r="32" spans="1:6" s="2" customFormat="1" ht="24.75" customHeight="1">
      <c r="A32" s="21" t="s">
        <v>15</v>
      </c>
      <c r="B32" s="5">
        <f t="shared" si="0"/>
        <v>146.524</v>
      </c>
      <c r="C32" s="8">
        <f>C33+C34</f>
        <v>0</v>
      </c>
      <c r="D32" s="17">
        <f>D33+D34</f>
        <v>0</v>
      </c>
      <c r="E32" s="17">
        <f>E33+E34</f>
        <v>0</v>
      </c>
      <c r="F32" s="18">
        <f>F33+F34</f>
        <v>146.524</v>
      </c>
    </row>
    <row r="33" spans="1:6" s="2" customFormat="1" ht="18" customHeight="1">
      <c r="A33" s="21" t="s">
        <v>16</v>
      </c>
      <c r="B33" s="5">
        <f t="shared" si="0"/>
        <v>115.53899999999999</v>
      </c>
      <c r="C33" s="10">
        <f>'1 квартал'!C33+'2 квартал'!C33</f>
        <v>0</v>
      </c>
      <c r="D33" s="10">
        <f>'1 квартал'!D33+'2 квартал'!D33</f>
        <v>0</v>
      </c>
      <c r="E33" s="10">
        <f>'1 квартал'!E33+'2 квартал'!E33</f>
        <v>0</v>
      </c>
      <c r="F33" s="19">
        <f>'1 квартал'!F33+'2 квартал'!F33</f>
        <v>115.53899999999999</v>
      </c>
    </row>
    <row r="34" spans="1:6" s="2" customFormat="1" ht="18" customHeight="1">
      <c r="A34" s="21" t="s">
        <v>17</v>
      </c>
      <c r="B34" s="5">
        <f t="shared" si="0"/>
        <v>30.985</v>
      </c>
      <c r="C34" s="10">
        <f>'1 квартал'!C34+'2 квартал'!C34</f>
        <v>0</v>
      </c>
      <c r="D34" s="10">
        <f>'1 квартал'!D34+'2 квартал'!D34</f>
        <v>0</v>
      </c>
      <c r="E34" s="10">
        <f>'1 квартал'!E34+'2 квартал'!E34</f>
        <v>0</v>
      </c>
      <c r="F34" s="19">
        <f>'1 квартал'!F34+'2 квартал'!F34</f>
        <v>30.985</v>
      </c>
    </row>
    <row r="35" spans="1:6" s="2" customFormat="1" ht="25.5" customHeight="1">
      <c r="A35" s="153" t="s">
        <v>32</v>
      </c>
      <c r="B35" s="5">
        <f t="shared" si="0"/>
        <v>1036.459</v>
      </c>
      <c r="C35" s="17">
        <f>C36+C37</f>
        <v>641.53</v>
      </c>
      <c r="D35" s="17">
        <f>D36+D37</f>
        <v>0</v>
      </c>
      <c r="E35" s="17">
        <f>E36+E37</f>
        <v>351.45</v>
      </c>
      <c r="F35" s="18">
        <f>F36+F37</f>
        <v>43.479000000000006</v>
      </c>
    </row>
    <row r="36" spans="1:6" s="2" customFormat="1" ht="23.25" customHeight="1">
      <c r="A36" s="21" t="s">
        <v>18</v>
      </c>
      <c r="B36" s="5">
        <f t="shared" si="0"/>
        <v>949.442</v>
      </c>
      <c r="C36" s="8">
        <f>'1 квартал'!C36+'2 квартал'!C36</f>
        <v>641.53</v>
      </c>
      <c r="D36" s="8">
        <f>'1 квартал'!D36+'2 квартал'!D36</f>
        <v>0</v>
      </c>
      <c r="E36" s="8">
        <f>'1 квартал'!E36+'2 квартал'!E36</f>
        <v>307.818</v>
      </c>
      <c r="F36" s="9">
        <f>'1 квартал'!F36+'2 квартал'!F36</f>
        <v>0.094</v>
      </c>
    </row>
    <row r="37" spans="1:6" s="2" customFormat="1" ht="23.25" customHeight="1">
      <c r="A37" s="21" t="s">
        <v>15</v>
      </c>
      <c r="B37" s="5">
        <f aca="true" t="shared" si="1" ref="B37:B68">C37+D37+E37+F37</f>
        <v>87.017</v>
      </c>
      <c r="C37" s="8">
        <f>C38+C39</f>
        <v>0</v>
      </c>
      <c r="D37" s="17">
        <f>D38+D39</f>
        <v>0</v>
      </c>
      <c r="E37" s="17">
        <f>E38+E39</f>
        <v>43.632</v>
      </c>
      <c r="F37" s="18">
        <f>F38+F39</f>
        <v>43.385000000000005</v>
      </c>
    </row>
    <row r="38" spans="1:6" s="2" customFormat="1" ht="23.25" customHeight="1">
      <c r="A38" s="21" t="s">
        <v>16</v>
      </c>
      <c r="B38" s="5">
        <f t="shared" si="1"/>
        <v>6.624</v>
      </c>
      <c r="C38" s="10">
        <f>'1 квартал'!C38+'2 квартал'!C38</f>
        <v>0</v>
      </c>
      <c r="D38" s="10">
        <f>'1 квартал'!D38+'2 квартал'!D38</f>
        <v>0</v>
      </c>
      <c r="E38" s="10">
        <f>'1 квартал'!E38+'2 квартал'!E38</f>
        <v>6.624</v>
      </c>
      <c r="F38" s="19">
        <f>'1 квартал'!F38+'2 квартал'!F38</f>
        <v>0</v>
      </c>
    </row>
    <row r="39" spans="1:6" s="2" customFormat="1" ht="23.25" customHeight="1">
      <c r="A39" s="21" t="s">
        <v>17</v>
      </c>
      <c r="B39" s="5">
        <f t="shared" si="1"/>
        <v>80.393</v>
      </c>
      <c r="C39" s="10">
        <f>'1 квартал'!C39+'2 квартал'!C39</f>
        <v>0</v>
      </c>
      <c r="D39" s="10">
        <f>'1 квартал'!D39+'2 квартал'!D39</f>
        <v>0</v>
      </c>
      <c r="E39" s="10">
        <f>'1 квартал'!E39+'2 квартал'!E39</f>
        <v>37.007999999999996</v>
      </c>
      <c r="F39" s="19">
        <f>'1 квартал'!F39+'2 квартал'!F39</f>
        <v>43.385000000000005</v>
      </c>
    </row>
    <row r="40" spans="1:6" s="2" customFormat="1" ht="42" customHeight="1">
      <c r="A40" s="153" t="s">
        <v>33</v>
      </c>
      <c r="B40" s="5">
        <f t="shared" si="1"/>
        <v>239.426</v>
      </c>
      <c r="C40" s="17">
        <f>C41+C42</f>
        <v>7.656</v>
      </c>
      <c r="D40" s="17">
        <f>D41+D42</f>
        <v>0</v>
      </c>
      <c r="E40" s="17">
        <f>E41+E42</f>
        <v>231.76999999999998</v>
      </c>
      <c r="F40" s="18">
        <f>F41+F42</f>
        <v>0</v>
      </c>
    </row>
    <row r="41" spans="1:6" s="2" customFormat="1" ht="19.5" customHeight="1">
      <c r="A41" s="21" t="s">
        <v>18</v>
      </c>
      <c r="B41" s="5">
        <f t="shared" si="1"/>
        <v>239.426</v>
      </c>
      <c r="C41" s="8">
        <f>'1 квартал'!C41+'2 квартал'!C41</f>
        <v>7.656</v>
      </c>
      <c r="D41" s="8">
        <f>'1 квартал'!D41+'2 квартал'!D41</f>
        <v>0</v>
      </c>
      <c r="E41" s="8">
        <f>'1 квартал'!E41+'2 квартал'!E41</f>
        <v>231.76999999999998</v>
      </c>
      <c r="F41" s="9">
        <f>'1 квартал'!F41+'2 квартал'!F41</f>
        <v>0</v>
      </c>
    </row>
    <row r="42" spans="1:6" s="2" customFormat="1" ht="19.5" customHeight="1">
      <c r="A42" s="21" t="s">
        <v>15</v>
      </c>
      <c r="B42" s="5">
        <f t="shared" si="1"/>
        <v>0</v>
      </c>
      <c r="C42" s="8">
        <f>C43+C44</f>
        <v>0</v>
      </c>
      <c r="D42" s="17">
        <f>D43+D44</f>
        <v>0</v>
      </c>
      <c r="E42" s="17">
        <f>E43+E44</f>
        <v>0</v>
      </c>
      <c r="F42" s="18">
        <f>F43+F44</f>
        <v>0</v>
      </c>
    </row>
    <row r="43" spans="1:6" s="2" customFormat="1" ht="19.5" customHeight="1">
      <c r="A43" s="21" t="s">
        <v>16</v>
      </c>
      <c r="B43" s="5">
        <f t="shared" si="1"/>
        <v>0</v>
      </c>
      <c r="C43" s="10">
        <f>'1 квартал'!C43+'2 квартал'!C43</f>
        <v>0</v>
      </c>
      <c r="D43" s="10">
        <f>'1 квартал'!D43+'2 квартал'!D43</f>
        <v>0</v>
      </c>
      <c r="E43" s="10">
        <f>'1 квартал'!E43+'2 квартал'!E43</f>
        <v>0</v>
      </c>
      <c r="F43" s="19">
        <f>'1 квартал'!F43+'2 квартал'!F43</f>
        <v>0</v>
      </c>
    </row>
    <row r="44" spans="1:6" s="2" customFormat="1" ht="19.5" customHeight="1">
      <c r="A44" s="21" t="s">
        <v>17</v>
      </c>
      <c r="B44" s="5">
        <f t="shared" si="1"/>
        <v>0</v>
      </c>
      <c r="C44" s="10">
        <f>'1 квартал'!C44+'2 квартал'!C44</f>
        <v>0</v>
      </c>
      <c r="D44" s="10">
        <f>'1 квартал'!D44+'2 квартал'!D44</f>
        <v>0</v>
      </c>
      <c r="E44" s="10">
        <f>'1 квартал'!E44+'2 квартал'!E44</f>
        <v>0</v>
      </c>
      <c r="F44" s="19">
        <f>'1 квартал'!F44+'2 квартал'!F44</f>
        <v>0</v>
      </c>
    </row>
    <row r="45" spans="1:6" s="2" customFormat="1" ht="24.75" customHeight="1">
      <c r="A45" s="153" t="s">
        <v>10</v>
      </c>
      <c r="B45" s="5">
        <f t="shared" si="1"/>
        <v>10662.762</v>
      </c>
      <c r="C45" s="17">
        <f>C46+C47</f>
        <v>0</v>
      </c>
      <c r="D45" s="17">
        <f>D46+D47</f>
        <v>0</v>
      </c>
      <c r="E45" s="17">
        <f>E46+E47</f>
        <v>7332.8330000000005</v>
      </c>
      <c r="F45" s="18">
        <f>F46+F47</f>
        <v>3329.929</v>
      </c>
    </row>
    <row r="46" spans="1:6" s="2" customFormat="1" ht="24.75" customHeight="1">
      <c r="A46" s="21" t="s">
        <v>18</v>
      </c>
      <c r="B46" s="5">
        <f t="shared" si="1"/>
        <v>8066.796</v>
      </c>
      <c r="C46" s="8">
        <f>'1 квартал'!C46+'2 квартал'!C46</f>
        <v>0</v>
      </c>
      <c r="D46" s="8">
        <f>'1 квартал'!D46+'2 квартал'!D46</f>
        <v>0</v>
      </c>
      <c r="E46" s="8">
        <f>'1 квартал'!E46+'2 квартал'!E46</f>
        <v>7189.179</v>
      </c>
      <c r="F46" s="9">
        <f>'1 квартал'!F46+'2 квартал'!F46</f>
        <v>877.617</v>
      </c>
    </row>
    <row r="47" spans="1:6" s="2" customFormat="1" ht="24.75" customHeight="1">
      <c r="A47" s="21" t="s">
        <v>15</v>
      </c>
      <c r="B47" s="5">
        <f t="shared" si="1"/>
        <v>2595.966</v>
      </c>
      <c r="C47" s="8">
        <f>C48+C49</f>
        <v>0</v>
      </c>
      <c r="D47" s="17">
        <f>D48+D49</f>
        <v>0</v>
      </c>
      <c r="E47" s="17">
        <f>E48+E49</f>
        <v>143.654</v>
      </c>
      <c r="F47" s="18">
        <f>F48+F49</f>
        <v>2452.312</v>
      </c>
    </row>
    <row r="48" spans="1:6" s="2" customFormat="1" ht="24.75" customHeight="1">
      <c r="A48" s="21" t="s">
        <v>16</v>
      </c>
      <c r="B48" s="5">
        <f t="shared" si="1"/>
        <v>2058.245</v>
      </c>
      <c r="C48" s="10">
        <f>'1 квартал'!C48+'2 квартал'!C48</f>
        <v>0</v>
      </c>
      <c r="D48" s="10">
        <f>'1 квартал'!D48+'2 квартал'!D48</f>
        <v>0</v>
      </c>
      <c r="E48" s="10">
        <f>'1 квартал'!E48+'2 квартал'!E48</f>
        <v>137.315</v>
      </c>
      <c r="F48" s="19">
        <f>'1 квартал'!F48+'2 квартал'!F48</f>
        <v>1920.9299999999998</v>
      </c>
    </row>
    <row r="49" spans="1:6" s="2" customFormat="1" ht="24.75" customHeight="1">
      <c r="A49" s="21" t="s">
        <v>17</v>
      </c>
      <c r="B49" s="5">
        <f t="shared" si="1"/>
        <v>537.7210000000001</v>
      </c>
      <c r="C49" s="10">
        <f>'1 квартал'!C49+'2 квартал'!C49</f>
        <v>0</v>
      </c>
      <c r="D49" s="10">
        <f>'1 квартал'!D49+'2 квартал'!D49</f>
        <v>0</v>
      </c>
      <c r="E49" s="10">
        <f>'1 квартал'!E49+'2 квартал'!E49</f>
        <v>6.339</v>
      </c>
      <c r="F49" s="19">
        <f>'1 квартал'!F49+'2 квартал'!F49</f>
        <v>531.3820000000001</v>
      </c>
    </row>
    <row r="50" spans="1:6" s="2" customFormat="1" ht="24.75" customHeight="1">
      <c r="A50" s="153" t="s">
        <v>5</v>
      </c>
      <c r="B50" s="5">
        <f t="shared" si="1"/>
        <v>14703.551</v>
      </c>
      <c r="C50" s="17">
        <f>C51+C52</f>
        <v>2077.618</v>
      </c>
      <c r="D50" s="17">
        <f>D51+D52</f>
        <v>0</v>
      </c>
      <c r="E50" s="17">
        <f>E51+E52</f>
        <v>6482.526</v>
      </c>
      <c r="F50" s="18">
        <f>F51+F52</f>
        <v>6143.407</v>
      </c>
    </row>
    <row r="51" spans="1:6" s="2" customFormat="1" ht="24.75" customHeight="1">
      <c r="A51" s="21" t="s">
        <v>18</v>
      </c>
      <c r="B51" s="5">
        <f t="shared" si="1"/>
        <v>8913.724999999999</v>
      </c>
      <c r="C51" s="8">
        <f>'1 квартал'!C51+'2 квартал'!C51</f>
        <v>2077.618</v>
      </c>
      <c r="D51" s="8">
        <f>'1 квартал'!D51+'2 квартал'!D51</f>
        <v>0</v>
      </c>
      <c r="E51" s="8">
        <f>'1 квартал'!E51+'2 квартал'!E51</f>
        <v>3472.2349999999997</v>
      </c>
      <c r="F51" s="9">
        <f>'1 квартал'!F51+'2 квартал'!F51</f>
        <v>3363.8720000000003</v>
      </c>
    </row>
    <row r="52" spans="1:6" s="2" customFormat="1" ht="24.75" customHeight="1">
      <c r="A52" s="21" t="s">
        <v>15</v>
      </c>
      <c r="B52" s="5">
        <f t="shared" si="1"/>
        <v>5789.826</v>
      </c>
      <c r="C52" s="8">
        <f>C53+C54</f>
        <v>0</v>
      </c>
      <c r="D52" s="17">
        <f>D53+D54</f>
        <v>0</v>
      </c>
      <c r="E52" s="17">
        <f>E53+E54</f>
        <v>3010.291</v>
      </c>
      <c r="F52" s="18">
        <f>F53+F54</f>
        <v>2779.535</v>
      </c>
    </row>
    <row r="53" spans="1:6" s="2" customFormat="1" ht="24.75" customHeight="1">
      <c r="A53" s="21" t="s">
        <v>16</v>
      </c>
      <c r="B53" s="5">
        <f t="shared" si="1"/>
        <v>5768.586</v>
      </c>
      <c r="C53" s="10">
        <f>'1 квартал'!C53+'2 квартал'!C53</f>
        <v>0</v>
      </c>
      <c r="D53" s="10">
        <f>'1 квартал'!D53+'2 квартал'!D53</f>
        <v>0</v>
      </c>
      <c r="E53" s="10">
        <f>'1 квартал'!E53+'2 квартал'!E53</f>
        <v>2989.0510000000004</v>
      </c>
      <c r="F53" s="19">
        <f>'1 квартал'!F53+'2 квартал'!F53</f>
        <v>2779.535</v>
      </c>
    </row>
    <row r="54" spans="1:6" s="2" customFormat="1" ht="24.75" customHeight="1">
      <c r="A54" s="21" t="s">
        <v>17</v>
      </c>
      <c r="B54" s="5">
        <f t="shared" si="1"/>
        <v>21.240000000000002</v>
      </c>
      <c r="C54" s="10">
        <f>'1 квартал'!C54+'2 квартал'!C54</f>
        <v>0</v>
      </c>
      <c r="D54" s="10">
        <f>'1 квартал'!D54+'2 квартал'!D54</f>
        <v>0</v>
      </c>
      <c r="E54" s="10">
        <f>'1 квартал'!E54+'2 квартал'!E54</f>
        <v>21.240000000000002</v>
      </c>
      <c r="F54" s="19">
        <f>'1 квартал'!F54+'2 квартал'!F54</f>
        <v>0</v>
      </c>
    </row>
    <row r="55" spans="1:6" s="2" customFormat="1" ht="50.25" customHeight="1">
      <c r="A55" s="153" t="s">
        <v>11</v>
      </c>
      <c r="B55" s="5">
        <f t="shared" si="1"/>
        <v>35570.791</v>
      </c>
      <c r="C55" s="17">
        <f>C56+C57</f>
        <v>0</v>
      </c>
      <c r="D55" s="17">
        <f>D56+D57</f>
        <v>0</v>
      </c>
      <c r="E55" s="17">
        <f>E56+E57</f>
        <v>8641.956</v>
      </c>
      <c r="F55" s="18">
        <f>F56+F57</f>
        <v>26928.835</v>
      </c>
    </row>
    <row r="56" spans="1:6" s="2" customFormat="1" ht="26.25" customHeight="1">
      <c r="A56" s="21" t="s">
        <v>18</v>
      </c>
      <c r="B56" s="5">
        <f t="shared" si="1"/>
        <v>17260.591</v>
      </c>
      <c r="C56" s="8">
        <f>'1 квартал'!C56+'2 квартал'!C56</f>
        <v>0</v>
      </c>
      <c r="D56" s="8">
        <f>'1 квартал'!D56+'2 квартал'!D56</f>
        <v>0</v>
      </c>
      <c r="E56" s="8">
        <f>'1 квартал'!E56+'2 квартал'!E56</f>
        <v>7597.0740000000005</v>
      </c>
      <c r="F56" s="9">
        <f>'1 квартал'!F56+'2 квартал'!F56</f>
        <v>9663.517</v>
      </c>
    </row>
    <row r="57" spans="1:6" s="2" customFormat="1" ht="26.25" customHeight="1">
      <c r="A57" s="21" t="s">
        <v>15</v>
      </c>
      <c r="B57" s="5">
        <f t="shared" si="1"/>
        <v>18310.2</v>
      </c>
      <c r="C57" s="8">
        <f>C58+C59</f>
        <v>0</v>
      </c>
      <c r="D57" s="17">
        <f>D58+D59</f>
        <v>0</v>
      </c>
      <c r="E57" s="17">
        <f>E58+E59</f>
        <v>1044.882</v>
      </c>
      <c r="F57" s="18">
        <f>F58+F59</f>
        <v>17265.318</v>
      </c>
    </row>
    <row r="58" spans="1:6" s="2" customFormat="1" ht="26.25" customHeight="1">
      <c r="A58" s="21" t="s">
        <v>16</v>
      </c>
      <c r="B58" s="5">
        <f t="shared" si="1"/>
        <v>4358.661</v>
      </c>
      <c r="C58" s="10">
        <f>'1 квартал'!C58+'2 квартал'!C58</f>
        <v>0</v>
      </c>
      <c r="D58" s="10">
        <f>'1 квартал'!D58+'2 квартал'!D58</f>
        <v>0</v>
      </c>
      <c r="E58" s="10">
        <f>'1 квартал'!E58+'2 квартал'!E58</f>
        <v>203.32399999999998</v>
      </c>
      <c r="F58" s="19">
        <f>'1 квартал'!F58+'2 квартал'!F58</f>
        <v>4155.337</v>
      </c>
    </row>
    <row r="59" spans="1:6" s="2" customFormat="1" ht="26.25" customHeight="1">
      <c r="A59" s="21" t="s">
        <v>17</v>
      </c>
      <c r="B59" s="5">
        <f t="shared" si="1"/>
        <v>13951.539</v>
      </c>
      <c r="C59" s="10">
        <f>'1 квартал'!C59+'2 квартал'!C59</f>
        <v>0</v>
      </c>
      <c r="D59" s="10">
        <f>'1 квартал'!D59+'2 квартал'!D59</f>
        <v>0</v>
      </c>
      <c r="E59" s="10">
        <f>'1 квартал'!E59+'2 квартал'!E59</f>
        <v>841.558</v>
      </c>
      <c r="F59" s="19">
        <f>'1 квартал'!F59+'2 квартал'!F59</f>
        <v>13109.981</v>
      </c>
    </row>
    <row r="60" spans="1:6" s="2" customFormat="1" ht="24.75" customHeight="1">
      <c r="A60" s="54" t="s">
        <v>39</v>
      </c>
      <c r="B60" s="5">
        <f t="shared" si="1"/>
        <v>917.523</v>
      </c>
      <c r="C60" s="17">
        <f>C61+C62</f>
        <v>0</v>
      </c>
      <c r="D60" s="17">
        <f>D61+D62</f>
        <v>0</v>
      </c>
      <c r="E60" s="17">
        <f>E61+E62</f>
        <v>422.298</v>
      </c>
      <c r="F60" s="18">
        <f>F61+F62</f>
        <v>495.225</v>
      </c>
    </row>
    <row r="61" spans="1:6" s="2" customFormat="1" ht="21.75" customHeight="1">
      <c r="A61" s="21" t="s">
        <v>18</v>
      </c>
      <c r="B61" s="5">
        <f t="shared" si="1"/>
        <v>917.523</v>
      </c>
      <c r="C61" s="8">
        <f>'1 квартал'!C61+'2 квартал'!C61</f>
        <v>0</v>
      </c>
      <c r="D61" s="8">
        <f>'1 квартал'!D61+'2 квартал'!D61</f>
        <v>0</v>
      </c>
      <c r="E61" s="8">
        <f>'1 квартал'!E61+'2 квартал'!E61</f>
        <v>422.298</v>
      </c>
      <c r="F61" s="9">
        <f>'1 квартал'!F61+'2 квартал'!F61</f>
        <v>495.225</v>
      </c>
    </row>
    <row r="62" spans="1:6" s="2" customFormat="1" ht="16.5" customHeight="1">
      <c r="A62" s="21" t="s">
        <v>15</v>
      </c>
      <c r="B62" s="5">
        <f t="shared" si="1"/>
        <v>0</v>
      </c>
      <c r="C62" s="8">
        <f>C63+C64</f>
        <v>0</v>
      </c>
      <c r="D62" s="17">
        <f>D63+D64</f>
        <v>0</v>
      </c>
      <c r="E62" s="17">
        <f>E63+E64</f>
        <v>0</v>
      </c>
      <c r="F62" s="18">
        <f>F63+F64</f>
        <v>0</v>
      </c>
    </row>
    <row r="63" spans="1:6" s="2" customFormat="1" ht="18" customHeight="1">
      <c r="A63" s="21" t="s">
        <v>16</v>
      </c>
      <c r="B63" s="5">
        <f t="shared" si="1"/>
        <v>0</v>
      </c>
      <c r="C63" s="10">
        <f>'1 квартал'!C63+'2 квартал'!C63</f>
        <v>0</v>
      </c>
      <c r="D63" s="10">
        <f>'1 квартал'!D63+'2 квартал'!D63</f>
        <v>0</v>
      </c>
      <c r="E63" s="10">
        <f>'1 квартал'!E63+'2 квартал'!E63</f>
        <v>0</v>
      </c>
      <c r="F63" s="19">
        <f>'1 квартал'!F63+'2 квартал'!F63</f>
        <v>0</v>
      </c>
    </row>
    <row r="64" spans="1:6" s="2" customFormat="1" ht="18" customHeight="1">
      <c r="A64" s="21" t="s">
        <v>17</v>
      </c>
      <c r="B64" s="5">
        <f t="shared" si="1"/>
        <v>0</v>
      </c>
      <c r="C64" s="10">
        <f>'1 квартал'!C64+'2 квартал'!C64</f>
        <v>0</v>
      </c>
      <c r="D64" s="10">
        <f>'1 квартал'!D64+'2 квартал'!D64</f>
        <v>0</v>
      </c>
      <c r="E64" s="10">
        <f>'1 квартал'!E64+'2 квартал'!E64</f>
        <v>0</v>
      </c>
      <c r="F64" s="19">
        <f>'1 квартал'!F64+'2 квартал'!F64</f>
        <v>0</v>
      </c>
    </row>
    <row r="65" spans="1:6" s="2" customFormat="1" ht="24.75" customHeight="1">
      <c r="A65" s="54" t="s">
        <v>4</v>
      </c>
      <c r="B65" s="5">
        <f t="shared" si="1"/>
        <v>4518.87</v>
      </c>
      <c r="C65" s="17">
        <f>C66+C67</f>
        <v>4518.87</v>
      </c>
      <c r="D65" s="17">
        <f>D66+D67</f>
        <v>0</v>
      </c>
      <c r="E65" s="17">
        <f>E66+E67</f>
        <v>0</v>
      </c>
      <c r="F65" s="18">
        <f>F66+F67</f>
        <v>0</v>
      </c>
    </row>
    <row r="66" spans="1:6" s="2" customFormat="1" ht="21.75" customHeight="1">
      <c r="A66" s="21" t="s">
        <v>18</v>
      </c>
      <c r="B66" s="5">
        <f t="shared" si="1"/>
        <v>4518.87</v>
      </c>
      <c r="C66" s="8">
        <f>'1 квартал'!C66+'2 квартал'!C66</f>
        <v>4518.87</v>
      </c>
      <c r="D66" s="8">
        <f>'1 квартал'!D66+'2 квартал'!D66</f>
        <v>0</v>
      </c>
      <c r="E66" s="8">
        <f>'1 квартал'!E66+'2 квартал'!E66</f>
        <v>0</v>
      </c>
      <c r="F66" s="9">
        <f>'1 квартал'!F66+'2 квартал'!F66</f>
        <v>0</v>
      </c>
    </row>
    <row r="67" spans="1:6" s="2" customFormat="1" ht="18" customHeight="1">
      <c r="A67" s="21" t="s">
        <v>15</v>
      </c>
      <c r="B67" s="5">
        <f t="shared" si="1"/>
        <v>0</v>
      </c>
      <c r="C67" s="8">
        <f>C68+C69</f>
        <v>0</v>
      </c>
      <c r="D67" s="17">
        <f>D68+D69</f>
        <v>0</v>
      </c>
      <c r="E67" s="17">
        <f>E68+E69</f>
        <v>0</v>
      </c>
      <c r="F67" s="18">
        <f>F68+F69</f>
        <v>0</v>
      </c>
    </row>
    <row r="68" spans="1:6" s="2" customFormat="1" ht="19.5" customHeight="1">
      <c r="A68" s="21" t="s">
        <v>16</v>
      </c>
      <c r="B68" s="5">
        <f t="shared" si="1"/>
        <v>0</v>
      </c>
      <c r="C68" s="10">
        <f>'1 квартал'!C68+'2 квартал'!C68</f>
        <v>0</v>
      </c>
      <c r="D68" s="10">
        <f>'1 квартал'!D68+'2 квартал'!D68</f>
        <v>0</v>
      </c>
      <c r="E68" s="10">
        <f>'1 квартал'!E68+'2 квартал'!E68</f>
        <v>0</v>
      </c>
      <c r="F68" s="19">
        <f>'1 квартал'!F68+'2 квартал'!F68</f>
        <v>0</v>
      </c>
    </row>
    <row r="69" spans="1:6" s="2" customFormat="1" ht="19.5" customHeight="1" thickBot="1">
      <c r="A69" s="22" t="s">
        <v>17</v>
      </c>
      <c r="B69" s="65">
        <f aca="true" t="shared" si="2" ref="B69:B78">C69+D69+E69+F69</f>
        <v>0</v>
      </c>
      <c r="C69" s="30">
        <f>'1 квартал'!C69+'2 квартал'!C69</f>
        <v>0</v>
      </c>
      <c r="D69" s="30">
        <f>'1 квартал'!D69+'2 квартал'!D69</f>
        <v>0</v>
      </c>
      <c r="E69" s="30">
        <f>'1 квартал'!E69+'2 квартал'!E69</f>
        <v>0</v>
      </c>
      <c r="F69" s="31">
        <f>'1 квартал'!F69+'2 квартал'!F69</f>
        <v>0</v>
      </c>
    </row>
    <row r="70" spans="1:6" s="70" customFormat="1" ht="23.25" customHeight="1">
      <c r="A70" s="140" t="s">
        <v>26</v>
      </c>
      <c r="B70" s="95">
        <f t="shared" si="2"/>
        <v>1766.276</v>
      </c>
      <c r="C70" s="74">
        <f>'1 квартал'!C70+'2 квартал'!C70</f>
        <v>0</v>
      </c>
      <c r="D70" s="74">
        <f>'1 квартал'!D70+'2 квартал'!D70</f>
        <v>0</v>
      </c>
      <c r="E70" s="74">
        <f>'1 квартал'!E70+'2 квартал'!E70</f>
        <v>1766.276</v>
      </c>
      <c r="F70" s="75">
        <f>'1 квартал'!F70+'2 квартал'!F70</f>
        <v>0</v>
      </c>
    </row>
    <row r="71" spans="1:6" s="70" customFormat="1" ht="23.25" customHeight="1">
      <c r="A71" s="54" t="s">
        <v>27</v>
      </c>
      <c r="B71" s="5">
        <f t="shared" si="2"/>
        <v>156.564</v>
      </c>
      <c r="C71" s="10">
        <f>'1 квартал'!C71+'2 квартал'!C71</f>
        <v>0</v>
      </c>
      <c r="D71" s="10">
        <f>'1 квартал'!D71+'2 квартал'!D71</f>
        <v>0</v>
      </c>
      <c r="E71" s="10">
        <f>'1 квартал'!E71+'2 квартал'!E71</f>
        <v>156.564</v>
      </c>
      <c r="F71" s="19">
        <f>'1 квартал'!F71+'2 квартал'!F71</f>
        <v>0</v>
      </c>
    </row>
    <row r="72" spans="1:6" s="70" customFormat="1" ht="23.25" customHeight="1">
      <c r="A72" s="54" t="s">
        <v>34</v>
      </c>
      <c r="B72" s="5">
        <f t="shared" si="2"/>
        <v>3600.448</v>
      </c>
      <c r="C72" s="10">
        <f>'1 квартал'!C72+'2 квартал'!C72</f>
        <v>0</v>
      </c>
      <c r="D72" s="10">
        <f>'1 квартал'!D72+'2 квартал'!D72</f>
        <v>0</v>
      </c>
      <c r="E72" s="10">
        <f>'1 квартал'!E72+'2 квартал'!E72</f>
        <v>3170.815</v>
      </c>
      <c r="F72" s="19">
        <f>'1 квартал'!F72+'2 квартал'!F72</f>
        <v>429.633</v>
      </c>
    </row>
    <row r="73" spans="1:6" s="70" customFormat="1" ht="23.25" customHeight="1">
      <c r="A73" s="62" t="s">
        <v>35</v>
      </c>
      <c r="B73" s="5">
        <f t="shared" si="2"/>
        <v>9382.482</v>
      </c>
      <c r="C73" s="10">
        <f>'1 квартал'!C73+'2 квартал'!C73</f>
        <v>9307.7</v>
      </c>
      <c r="D73" s="10">
        <f>'1 квартал'!D73+'2 квартал'!D73</f>
        <v>0</v>
      </c>
      <c r="E73" s="10">
        <f>'1 квартал'!E73+'2 квартал'!E73</f>
        <v>0</v>
      </c>
      <c r="F73" s="19">
        <f>'1 квартал'!F73+'2 квартал'!F73</f>
        <v>74.782</v>
      </c>
    </row>
    <row r="74" spans="1:6" s="70" customFormat="1" ht="23.25" customHeight="1">
      <c r="A74" s="54" t="s">
        <v>28</v>
      </c>
      <c r="B74" s="5">
        <f t="shared" si="2"/>
        <v>4818.564</v>
      </c>
      <c r="C74" s="10">
        <f>'1 квартал'!C74+'2 квартал'!C74</f>
        <v>3120.4660000000003</v>
      </c>
      <c r="D74" s="10">
        <f>'1 квартал'!D74+'2 квартал'!D74</f>
        <v>0</v>
      </c>
      <c r="E74" s="10">
        <f>'1 квартал'!E74+'2 квартал'!E74</f>
        <v>1374.37</v>
      </c>
      <c r="F74" s="19">
        <f>'1 квартал'!F74+'2 квартал'!F74</f>
        <v>323.728</v>
      </c>
    </row>
    <row r="75" spans="1:6" s="70" customFormat="1" ht="33" customHeight="1">
      <c r="A75" s="62" t="s">
        <v>29</v>
      </c>
      <c r="B75" s="104">
        <f t="shared" si="2"/>
        <v>3069.054</v>
      </c>
      <c r="C75" s="10">
        <f>'1 квартал'!C75+'2 квартал'!C75</f>
        <v>0</v>
      </c>
      <c r="D75" s="10">
        <f>'1 квартал'!D75+'2 квартал'!D75</f>
        <v>0</v>
      </c>
      <c r="E75" s="10">
        <f>'1 квартал'!E75+'2 квартал'!E75</f>
        <v>3069.054</v>
      </c>
      <c r="F75" s="19">
        <f>'1 квартал'!F75+'2 квартал'!F75</f>
        <v>0</v>
      </c>
    </row>
    <row r="76" spans="1:6" s="70" customFormat="1" ht="38.25" customHeight="1">
      <c r="A76" s="105" t="s">
        <v>30</v>
      </c>
      <c r="B76" s="104">
        <f t="shared" si="2"/>
        <v>349.283</v>
      </c>
      <c r="C76" s="10">
        <f>'1 квартал'!C76+'2 квартал'!C76</f>
        <v>0</v>
      </c>
      <c r="D76" s="10">
        <f>'1 квартал'!D76+'2 квартал'!D76</f>
        <v>0</v>
      </c>
      <c r="E76" s="10">
        <f>'1 квартал'!E76+'2 квартал'!E76</f>
        <v>0</v>
      </c>
      <c r="F76" s="19">
        <f>'1 квартал'!F76+'2 квартал'!F76</f>
        <v>349.283</v>
      </c>
    </row>
    <row r="77" spans="1:6" s="3" customFormat="1" ht="42" customHeight="1" thickBot="1">
      <c r="A77" s="106" t="s">
        <v>31</v>
      </c>
      <c r="B77" s="107">
        <f t="shared" si="2"/>
        <v>695.77</v>
      </c>
      <c r="C77" s="10">
        <f>'1 квартал'!C77+'2 квартал'!C77</f>
        <v>0</v>
      </c>
      <c r="D77" s="10">
        <f>'1 квартал'!D77+'2 квартал'!D77</f>
        <v>0</v>
      </c>
      <c r="E77" s="10">
        <f>'1 квартал'!E77+'2 квартал'!E77</f>
        <v>29.095</v>
      </c>
      <c r="F77" s="19">
        <f>'1 квартал'!F77+'2 квартал'!F77</f>
        <v>666.675</v>
      </c>
    </row>
    <row r="78" spans="1:6" s="3" customFormat="1" ht="18.75" thickBot="1">
      <c r="A78" s="110" t="s">
        <v>40</v>
      </c>
      <c r="B78" s="88">
        <f t="shared" si="2"/>
        <v>719563.2930000001</v>
      </c>
      <c r="C78" s="89">
        <f>C5+C10+C15+C20+C25+C30+C35+C40+C45+C50+C55+C60+C65+C70+C71+C72+C73+C74+C75+C76+C77</f>
        <v>298953.73600000003</v>
      </c>
      <c r="D78" s="89">
        <f>D5+D10+D15+D20+D25+D30+D35+D40+D45+D50+D55+D60+D65+D70+D71+D72+D73+D74+D75+D76+D77</f>
        <v>12707.467999999999</v>
      </c>
      <c r="E78" s="89">
        <f>E5+E10+E15+E20+E25+E30+E35+E40+E45+E50+E55+E60+E65+E70+E71+E72+E73+E74+E75+E76+E77</f>
        <v>179622.74000000005</v>
      </c>
      <c r="F78" s="89">
        <f>F5+F10+F15+F20+F25+F30+F35+F40+F45+F50+F55+F60+F65+F70+F71+F72+F73+F74+F75+F76+F77</f>
        <v>228279.34900000005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esorrfni</dc:creator>
  <cp:keywords/>
  <dc:description/>
  <cp:lastModifiedBy>Токарева</cp:lastModifiedBy>
  <cp:lastPrinted>2011-09-13T10:21:19Z</cp:lastPrinted>
  <dcterms:created xsi:type="dcterms:W3CDTF">2007-02-15T08:39:45Z</dcterms:created>
  <dcterms:modified xsi:type="dcterms:W3CDTF">2012-01-19T12:21:44Z</dcterms:modified>
  <cp:category/>
  <cp:version/>
  <cp:contentType/>
  <cp:contentStatus/>
</cp:coreProperties>
</file>