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145" windowHeight="11400" activeTab="0"/>
  </bookViews>
  <sheets>
    <sheet name="2019" sheetId="1" r:id="rId1"/>
  </sheets>
  <externalReferences>
    <externalReference r:id="rId4"/>
    <externalReference r:id="rId5"/>
  </externalReferences>
  <definedNames>
    <definedName name="_xlnm.Print_Area" localSheetId="0">'2019'!$A$1:$T$18</definedName>
  </definedNames>
  <calcPr fullCalcOnLoad="1" refMode="R1C1"/>
</workbook>
</file>

<file path=xl/sharedStrings.xml><?xml version="1.0" encoding="utf-8"?>
<sst xmlns="http://schemas.openxmlformats.org/spreadsheetml/2006/main" count="51" uniqueCount="31">
  <si>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</si>
  <si>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</si>
  <si>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</si>
  <si>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</si>
  <si>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</si>
  <si>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</si>
  <si>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</si>
  <si>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</si>
  <si>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Поставщик</t>
  </si>
  <si>
    <t>ИТОГО</t>
  </si>
  <si>
    <t>ООО "Русэнергосбыт"</t>
  </si>
  <si>
    <t>ООО "Ромодановсахар"</t>
  </si>
  <si>
    <t>ОАО "Нижегородская сбытовая компания"</t>
  </si>
  <si>
    <t>сентябрь</t>
  </si>
  <si>
    <t>октябрь</t>
  </si>
  <si>
    <t>ноябрь</t>
  </si>
  <si>
    <t>декабрь</t>
  </si>
  <si>
    <t>объем,         кВт.ч.</t>
  </si>
  <si>
    <t>средняя цена, руб/кВт.ч.</t>
  </si>
  <si>
    <t>цена, руб/кВт.ч.</t>
  </si>
  <si>
    <t>АО "ГТ Энерго"</t>
  </si>
  <si>
    <t>объем,                    кВт</t>
  </si>
  <si>
    <t>цена, руб/кВт</t>
  </si>
  <si>
    <t>объем,                    кВт (мощность)</t>
  </si>
  <si>
    <t>ООО "Электросбытовая компания Ватт-Электросбыт" (договор №H388 от 02.08.2016г.)</t>
  </si>
  <si>
    <t>объем, кВтч.</t>
  </si>
  <si>
    <t>цена руб./кВтч</t>
  </si>
  <si>
    <t>Х</t>
  </si>
  <si>
    <t>ООО "Электросбытовая компания Ватт-Электросбыт" (дкп №121/2 от 01.10.2011г.)</t>
  </si>
  <si>
    <t>Объем покупки электрической энергии (мощности) на розничном рынке в 2019 г.</t>
  </si>
  <si>
    <t>ООО  "ВКМ-Сталь"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</si>
</sst>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#,##0.0"/>
    <numFmt numFmtId="187" formatCode="#,##0.00&quot;р.&quot;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NumberFormat="1" applyAlignment="1">
      <alignment/>
    </xf>
    <xf numFmtId="4" fontId="1" fillId="0" borderId="0" xfId="0" applyFont="1" applyAlignment="1">
      <alignment vertical="center"/>
    </xf>
    <xf numFmtId="4" fontId="5" fillId="0" borderId="0" xfId="0" applyFont="1" applyAlignment="1">
      <alignment vertical="center"/>
    </xf>
    <xf numFmtId="4" fontId="5" fillId="0" borderId="0" xfId="0" applyFont="1" applyAlignment="1">
      <alignment horizontal="center" vertical="center" wrapText="1"/>
    </xf>
    <xf numFmtId="184" fontId="1" fillId="0" borderId="10" xfId="0" applyNumberFormat="1" applyFont="1" applyBorder="1" applyAlignment="1">
      <alignment vertical="center"/>
    </xf>
    <xf numFmtId="184" fontId="0" fillId="0" borderId="11" xfId="0" applyNumberFormat="1" applyFont="1" applyBorder="1" applyAlignment="1">
      <alignment vertical="center"/>
    </xf>
    <xf numFmtId="184" fontId="0" fillId="0" borderId="12" xfId="0" applyNumberFormat="1" applyFont="1" applyBorder="1" applyAlignment="1">
      <alignment vertical="center"/>
    </xf>
    <xf numFmtId="184" fontId="0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horizontal="center" vertical="center"/>
    </xf>
    <xf numFmtId="184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185" fontId="0" fillId="0" borderId="19" xfId="0" applyNumberFormat="1" applyFont="1" applyBorder="1" applyAlignment="1">
      <alignment horizontal="center" vertical="center"/>
    </xf>
    <xf numFmtId="184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>
      <alignment horizontal="center" vertical="center"/>
    </xf>
    <xf numFmtId="184" fontId="0" fillId="0" borderId="22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184" fontId="0" fillId="0" borderId="24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184" fontId="0" fillId="0" borderId="26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184" fontId="0" fillId="0" borderId="29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184" fontId="1" fillId="0" borderId="34" xfId="0" applyNumberFormat="1" applyFont="1" applyBorder="1" applyAlignment="1">
      <alignment horizontal="center" vertical="center" wrapText="1"/>
    </xf>
    <xf numFmtId="184" fontId="1" fillId="0" borderId="30" xfId="0" applyNumberFormat="1" applyFont="1" applyBorder="1" applyAlignment="1">
      <alignment horizontal="center" vertical="center" wrapText="1"/>
    </xf>
    <xf numFmtId="184" fontId="1" fillId="0" borderId="35" xfId="0" applyNumberFormat="1" applyFont="1" applyBorder="1" applyAlignment="1">
      <alignment horizontal="center" vertical="center" wrapText="1"/>
    </xf>
    <xf numFmtId="184" fontId="1" fillId="0" borderId="36" xfId="0" applyNumberFormat="1" applyFont="1" applyBorder="1" applyAlignment="1">
      <alignment horizontal="center" vertical="center" wrapText="1"/>
    </xf>
    <xf numFmtId="184" fontId="1" fillId="0" borderId="37" xfId="0" applyNumberFormat="1" applyFont="1" applyBorder="1" applyAlignment="1">
      <alignment horizontal="center" vertical="center" wrapText="1"/>
    </xf>
    <xf numFmtId="184" fontId="1" fillId="0" borderId="32" xfId="0" applyNumberFormat="1" applyFont="1" applyBorder="1" applyAlignment="1">
      <alignment horizontal="center" vertical="center" wrapText="1"/>
    </xf>
    <xf numFmtId="184" fontId="1" fillId="0" borderId="14" xfId="0" applyNumberFormat="1" applyFont="1" applyBorder="1" applyAlignment="1">
      <alignment horizontal="center" vertical="center" wrapText="1"/>
    </xf>
    <xf numFmtId="184" fontId="0" fillId="0" borderId="38" xfId="0" applyNumberFormat="1" applyFont="1" applyBorder="1" applyAlignment="1">
      <alignment horizontal="center" vertical="center"/>
    </xf>
    <xf numFmtId="184" fontId="0" fillId="0" borderId="39" xfId="0" applyNumberFormat="1" applyFont="1" applyBorder="1" applyAlignment="1">
      <alignment horizontal="center" vertical="center"/>
    </xf>
    <xf numFmtId="184" fontId="1" fillId="0" borderId="14" xfId="0" applyNumberFormat="1" applyFont="1" applyBorder="1" applyAlignment="1">
      <alignment horizontal="center" vertical="center"/>
    </xf>
    <xf numFmtId="3" fontId="0" fillId="33" borderId="16" xfId="0" applyNumberFormat="1" applyFont="1" applyFill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184" fontId="0" fillId="0" borderId="41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184" fontId="0" fillId="0" borderId="43" xfId="0" applyNumberFormat="1" applyFont="1" applyBorder="1" applyAlignment="1">
      <alignment horizontal="center" vertical="center"/>
    </xf>
    <xf numFmtId="3" fontId="0" fillId="0" borderId="44" xfId="0" applyNumberFormat="1" applyFont="1" applyBorder="1" applyAlignment="1">
      <alignment horizontal="center" vertical="center"/>
    </xf>
    <xf numFmtId="184" fontId="0" fillId="0" borderId="45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184" fontId="0" fillId="0" borderId="15" xfId="0" applyNumberFormat="1" applyFont="1" applyBorder="1" applyAlignment="1">
      <alignment horizontal="center" vertical="center"/>
    </xf>
    <xf numFmtId="184" fontId="1" fillId="0" borderId="31" xfId="0" applyNumberFormat="1" applyFont="1" applyBorder="1" applyAlignment="1">
      <alignment horizontal="center" vertical="center" wrapText="1"/>
    </xf>
    <xf numFmtId="184" fontId="1" fillId="0" borderId="31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184" fontId="0" fillId="0" borderId="16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189" fontId="1" fillId="0" borderId="17" xfId="0" applyNumberFormat="1" applyFont="1" applyBorder="1" applyAlignment="1">
      <alignment horizontal="center" vertical="center"/>
    </xf>
    <xf numFmtId="184" fontId="1" fillId="0" borderId="44" xfId="0" applyNumberFormat="1" applyFont="1" applyBorder="1" applyAlignment="1">
      <alignment horizontal="center" vertical="center" wrapText="1"/>
    </xf>
    <xf numFmtId="184" fontId="1" fillId="0" borderId="45" xfId="0" applyNumberFormat="1" applyFont="1" applyBorder="1" applyAlignment="1">
      <alignment horizontal="center" vertical="center" wrapText="1"/>
    </xf>
    <xf numFmtId="4" fontId="1" fillId="0" borderId="15" xfId="0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4" fontId="1" fillId="0" borderId="30" xfId="0" applyFont="1" applyBorder="1" applyAlignment="1">
      <alignment horizontal="center" vertical="center" wrapText="1"/>
    </xf>
    <xf numFmtId="4" fontId="1" fillId="0" borderId="32" xfId="0" applyFont="1" applyBorder="1" applyAlignment="1">
      <alignment horizontal="center" vertical="center" wrapText="1"/>
    </xf>
    <xf numFmtId="4" fontId="1" fillId="0" borderId="14" xfId="0" applyFont="1" applyBorder="1" applyAlignment="1">
      <alignment horizontal="center" vertical="center" wrapText="1"/>
    </xf>
    <xf numFmtId="184" fontId="1" fillId="0" borderId="49" xfId="0" applyNumberFormat="1" applyFont="1" applyBorder="1" applyAlignment="1">
      <alignment horizontal="center" vertical="center" wrapText="1"/>
    </xf>
    <xf numFmtId="0" fontId="0" fillId="0" borderId="50" xfId="0" applyNumberFormat="1" applyBorder="1" applyAlignment="1">
      <alignment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51" xfId="0" applyNumberFormat="1" applyFont="1" applyBorder="1" applyAlignment="1">
      <alignment horizontal="center" vertical="center" wrapText="1"/>
    </xf>
    <xf numFmtId="184" fontId="1" fillId="0" borderId="33" xfId="0" applyNumberFormat="1" applyFont="1" applyBorder="1" applyAlignment="1">
      <alignment horizontal="center" vertical="center" wrapText="1"/>
    </xf>
    <xf numFmtId="0" fontId="0" fillId="0" borderId="51" xfId="0" applyNumberForma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91;&#1089;&#1101;&#1085;&#1077;&#1088;&#107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86;&#1079;&#1085;&#1080;&#1094;&#1072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</sheetNames>
    <sheetDataSet>
      <sheetData sheetId="4">
        <row r="14">
          <cell r="L14">
            <v>580.293</v>
          </cell>
          <cell r="N14">
            <v>1379641.9300000002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с розницы"/>
    </sheetNames>
    <sheetDataSet>
      <sheetData sheetId="0">
        <row r="14">
          <cell r="B14">
            <v>515.806</v>
          </cell>
          <cell r="D14">
            <v>222.532</v>
          </cell>
          <cell r="F14">
            <v>28.392</v>
          </cell>
          <cell r="H14">
            <v>2412.94</v>
          </cell>
          <cell r="I14">
            <v>14.233</v>
          </cell>
          <cell r="J14">
            <v>2225</v>
          </cell>
          <cell r="K14">
            <v>1180.538</v>
          </cell>
          <cell r="L14">
            <v>1292.38</v>
          </cell>
          <cell r="M14">
            <v>3764.543</v>
          </cell>
          <cell r="N14">
            <v>1326.21</v>
          </cell>
          <cell r="O14">
            <v>8.09</v>
          </cell>
          <cell r="P14">
            <v>830855.82</v>
          </cell>
          <cell r="R14">
            <v>4.8</v>
          </cell>
          <cell r="S14">
            <v>2781.64</v>
          </cell>
          <cell r="T14">
            <v>0.502</v>
          </cell>
          <cell r="U14">
            <v>3033.33</v>
          </cell>
          <cell r="W14">
            <v>61.42</v>
          </cell>
          <cell r="X14">
            <v>2459.38464465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8" sqref="K28"/>
    </sheetView>
  </sheetViews>
  <sheetFormatPr defaultColWidth="9.00390625" defaultRowHeight="12.75"/>
  <cols>
    <col min="1" max="1" width="13.375" style="2" customWidth="1"/>
    <col min="2" max="2" width="10.375" style="2" customWidth="1"/>
    <col min="3" max="3" width="13.00390625" style="2" customWidth="1"/>
    <col min="4" max="4" width="9.375" style="2" customWidth="1"/>
    <col min="5" max="5" width="10.625" style="2" customWidth="1"/>
    <col min="6" max="6" width="11.125" style="2" customWidth="1"/>
    <col min="7" max="7" width="10.875" style="2" customWidth="1"/>
    <col min="8" max="8" width="9.625" style="2" customWidth="1"/>
    <col min="9" max="9" width="10.625" style="2" customWidth="1"/>
    <col min="10" max="10" width="11.125" style="2" customWidth="1"/>
    <col min="11" max="11" width="10.625" style="2" customWidth="1"/>
    <col min="12" max="12" width="12.75390625" style="2" customWidth="1"/>
    <col min="13" max="13" width="10.00390625" style="2" customWidth="1"/>
    <col min="14" max="14" width="9.25390625" style="2" customWidth="1"/>
    <col min="15" max="15" width="11.625" style="2" customWidth="1"/>
    <col min="16" max="16" width="12.75390625" style="2" customWidth="1"/>
    <col min="17" max="17" width="11.625" style="2" customWidth="1"/>
    <col min="18" max="18" width="14.875" style="1" customWidth="1"/>
    <col min="19" max="19" width="8.875" style="1" customWidth="1"/>
    <col min="20" max="20" width="11.75390625" style="1" customWidth="1"/>
    <col min="21" max="21" width="9.125" style="2" customWidth="1"/>
    <col min="22" max="22" width="14.375" style="2" customWidth="1"/>
    <col min="23" max="16384" width="9.125" style="2" customWidth="1"/>
  </cols>
  <sheetData>
    <row r="1" ht="12.75">
      <c r="A1" s="1" t="s">
        <v>29</v>
      </c>
    </row>
    <row r="2" ht="13.5" thickBot="1"/>
    <row r="3" spans="1:20" s="3" customFormat="1" ht="84.75" customHeight="1" thickBot="1">
      <c r="A3" s="65" t="s">
        <v>8</v>
      </c>
      <c r="B3" s="67" t="s">
        <v>10</v>
      </c>
      <c r="C3" s="68"/>
      <c r="D3" s="67" t="s">
        <v>12</v>
      </c>
      <c r="E3" s="68"/>
      <c r="F3" s="69" t="s">
        <v>11</v>
      </c>
      <c r="G3" s="69"/>
      <c r="H3" s="67" t="s">
        <v>28</v>
      </c>
      <c r="I3" s="68"/>
      <c r="J3" s="67" t="s">
        <v>20</v>
      </c>
      <c r="K3" s="69"/>
      <c r="L3" s="69"/>
      <c r="M3" s="70"/>
      <c r="N3" s="60" t="s">
        <v>24</v>
      </c>
      <c r="O3" s="61"/>
      <c r="P3" s="71" t="s">
        <v>30</v>
      </c>
      <c r="Q3" s="70"/>
      <c r="R3" s="62" t="s">
        <v>9</v>
      </c>
      <c r="S3" s="63"/>
      <c r="T3" s="64"/>
    </row>
    <row r="4" spans="1:20" s="3" customFormat="1" ht="45.75" customHeight="1" thickBot="1">
      <c r="A4" s="66"/>
      <c r="B4" s="31" t="s">
        <v>17</v>
      </c>
      <c r="C4" s="34" t="s">
        <v>19</v>
      </c>
      <c r="D4" s="31" t="s">
        <v>17</v>
      </c>
      <c r="E4" s="34" t="s">
        <v>19</v>
      </c>
      <c r="F4" s="31" t="s">
        <v>17</v>
      </c>
      <c r="G4" s="35" t="s">
        <v>19</v>
      </c>
      <c r="H4" s="31" t="s">
        <v>17</v>
      </c>
      <c r="I4" s="35" t="s">
        <v>19</v>
      </c>
      <c r="J4" s="32" t="s">
        <v>17</v>
      </c>
      <c r="K4" s="36" t="s">
        <v>19</v>
      </c>
      <c r="L4" s="33" t="s">
        <v>23</v>
      </c>
      <c r="M4" s="37" t="s">
        <v>22</v>
      </c>
      <c r="N4" s="32" t="s">
        <v>25</v>
      </c>
      <c r="O4" s="50" t="s">
        <v>26</v>
      </c>
      <c r="P4" s="32" t="s">
        <v>25</v>
      </c>
      <c r="Q4" s="50" t="s">
        <v>26</v>
      </c>
      <c r="R4" s="56" t="s">
        <v>17</v>
      </c>
      <c r="S4" s="57" t="s">
        <v>21</v>
      </c>
      <c r="T4" s="58" t="s">
        <v>18</v>
      </c>
    </row>
    <row r="5" spans="1:20" ht="13.5" customHeight="1">
      <c r="A5" s="5" t="s">
        <v>0</v>
      </c>
      <c r="B5" s="42">
        <v>876208</v>
      </c>
      <c r="C5" s="43">
        <f>(2373269.86-395544.98)/B5</f>
        <v>2.2571408615305955</v>
      </c>
      <c r="D5" s="42">
        <v>19678</v>
      </c>
      <c r="E5" s="43">
        <f>44141.63/D5</f>
        <v>2.243196971236914</v>
      </c>
      <c r="F5" s="44">
        <v>0</v>
      </c>
      <c r="G5" s="45">
        <v>0</v>
      </c>
      <c r="H5" s="42">
        <v>2400</v>
      </c>
      <c r="I5" s="45">
        <v>2.66158</v>
      </c>
      <c r="J5" s="46">
        <v>2075532</v>
      </c>
      <c r="K5" s="47">
        <v>1.31929</v>
      </c>
      <c r="L5" s="48">
        <v>4829</v>
      </c>
      <c r="M5" s="49">
        <v>733.50122</v>
      </c>
      <c r="N5" s="46">
        <v>516</v>
      </c>
      <c r="O5" s="18">
        <f aca="true" t="shared" si="0" ref="O5:O10">ROUND(3.56/1.2,5)</f>
        <v>2.96667</v>
      </c>
      <c r="P5" s="53">
        <v>0</v>
      </c>
      <c r="Q5" s="16">
        <v>0</v>
      </c>
      <c r="R5" s="54">
        <f>B5+D5+F5+H5+J5+N5+P5</f>
        <v>2974334</v>
      </c>
      <c r="S5" s="52">
        <f>L5</f>
        <v>4829</v>
      </c>
      <c r="T5" s="55">
        <f>(B5*C5+D5*E5+F5*G5+H5*I5+J5*K5+L5*M5+N5*O5+P5*Q5)/R5</f>
        <v>2.7939334006806225</v>
      </c>
    </row>
    <row r="6" spans="1:20" ht="12.75">
      <c r="A6" s="6" t="s">
        <v>1</v>
      </c>
      <c r="B6" s="10">
        <v>867195</v>
      </c>
      <c r="C6" s="11">
        <f>(2112876.4/B6)</f>
        <v>2.436449010891437</v>
      </c>
      <c r="D6" s="41">
        <v>17503</v>
      </c>
      <c r="E6" s="9">
        <f>39698.23/D6</f>
        <v>2.2680814717477005</v>
      </c>
      <c r="F6" s="12">
        <v>0</v>
      </c>
      <c r="G6" s="13">
        <v>0</v>
      </c>
      <c r="H6" s="10">
        <v>2400</v>
      </c>
      <c r="I6" s="14">
        <v>2.79515</v>
      </c>
      <c r="J6" s="10">
        <v>1753949</v>
      </c>
      <c r="K6" s="38">
        <v>1.30193</v>
      </c>
      <c r="L6" s="15">
        <v>4574</v>
      </c>
      <c r="M6" s="16">
        <v>741.39765</v>
      </c>
      <c r="N6" s="41">
        <v>446</v>
      </c>
      <c r="O6" s="18">
        <f t="shared" si="0"/>
        <v>2.96667</v>
      </c>
      <c r="P6" s="10">
        <v>126179</v>
      </c>
      <c r="Q6" s="16">
        <f>(152865.93+171515.74)/P6</f>
        <v>2.5708055223135386</v>
      </c>
      <c r="R6" s="54">
        <f aca="true" t="shared" si="1" ref="R6:R16">B6+D6+F6+H6+J6+N6+P6</f>
        <v>2767672</v>
      </c>
      <c r="S6" s="52">
        <f>L6</f>
        <v>4574</v>
      </c>
      <c r="T6" s="55">
        <f>(B6*C6+D6*E6+F6*G6+H6*I6+J6*K6+L6*M6+N6*O6+P6*Q6)/R6</f>
        <v>2.948203207421255</v>
      </c>
    </row>
    <row r="7" spans="1:20" ht="12.75">
      <c r="A7" s="6" t="s">
        <v>2</v>
      </c>
      <c r="B7" s="10">
        <v>763174</v>
      </c>
      <c r="C7" s="16">
        <f>1872651.44/B7</f>
        <v>2.453767345323609</v>
      </c>
      <c r="D7" s="10">
        <v>17164</v>
      </c>
      <c r="E7" s="16">
        <f>38722.48/D7</f>
        <v>2.2560288976928455</v>
      </c>
      <c r="F7" s="12">
        <v>0</v>
      </c>
      <c r="G7" s="13">
        <v>0</v>
      </c>
      <c r="H7" s="10">
        <v>4800</v>
      </c>
      <c r="I7" s="14">
        <v>2.70331</v>
      </c>
      <c r="J7" s="10">
        <v>1895366</v>
      </c>
      <c r="K7" s="38">
        <v>1.4043</v>
      </c>
      <c r="L7" s="15">
        <v>5044</v>
      </c>
      <c r="M7" s="16">
        <v>760.93181</v>
      </c>
      <c r="N7" s="10">
        <v>494</v>
      </c>
      <c r="O7" s="18">
        <f t="shared" si="0"/>
        <v>2.96667</v>
      </c>
      <c r="P7" s="10">
        <v>66581</v>
      </c>
      <c r="Q7" s="16">
        <v>2.54553152546</v>
      </c>
      <c r="R7" s="54">
        <f t="shared" si="1"/>
        <v>2747579</v>
      </c>
      <c r="S7" s="52">
        <f aca="true" t="shared" si="2" ref="S7:S16">L7</f>
        <v>5044</v>
      </c>
      <c r="T7" s="55">
        <f aca="true" t="shared" si="3" ref="T7:T16">(B7*C7+D7*E7+F7*G7+H7*I7+J7*K7+L7*M7+N7*O7+P7*Q7)/R7</f>
        <v>3.1282455939999005</v>
      </c>
    </row>
    <row r="8" spans="1:20" ht="12.75">
      <c r="A8" s="6" t="s">
        <v>3</v>
      </c>
      <c r="B8" s="10">
        <v>769731</v>
      </c>
      <c r="C8" s="16">
        <f>1917505.43/B8</f>
        <v>2.4911370725617132</v>
      </c>
      <c r="D8" s="10">
        <v>15227</v>
      </c>
      <c r="E8" s="16">
        <f>33245.62/D8</f>
        <v>2.183333552242727</v>
      </c>
      <c r="F8" s="12">
        <v>0</v>
      </c>
      <c r="G8" s="13">
        <v>0</v>
      </c>
      <c r="H8" s="10">
        <v>2400</v>
      </c>
      <c r="I8" s="17">
        <v>2.81175</v>
      </c>
      <c r="J8" s="10">
        <v>2410712</v>
      </c>
      <c r="K8" s="38">
        <v>1.48769</v>
      </c>
      <c r="L8" s="15">
        <v>6634</v>
      </c>
      <c r="M8" s="16">
        <v>808.59018</v>
      </c>
      <c r="N8" s="10">
        <v>462</v>
      </c>
      <c r="O8" s="18">
        <f t="shared" si="0"/>
        <v>2.96667</v>
      </c>
      <c r="P8" s="10">
        <v>60517</v>
      </c>
      <c r="Q8" s="16">
        <v>2.7457123127</v>
      </c>
      <c r="R8" s="54">
        <f t="shared" si="1"/>
        <v>3259049</v>
      </c>
      <c r="S8" s="52">
        <f t="shared" si="2"/>
        <v>6634</v>
      </c>
      <c r="T8" s="55">
        <f t="shared" si="3"/>
        <v>3.398418223527068</v>
      </c>
    </row>
    <row r="9" spans="1:20" ht="12.75">
      <c r="A9" s="6" t="s">
        <v>4</v>
      </c>
      <c r="B9" s="10">
        <f>'[1]май'!$L$14*1000</f>
        <v>580293</v>
      </c>
      <c r="C9" s="16">
        <f>'[1]май'!$N$14/B9</f>
        <v>2.3774919394168124</v>
      </c>
      <c r="D9" s="10">
        <v>19675</v>
      </c>
      <c r="E9" s="16">
        <f>42957.08/D9</f>
        <v>2.183333163913596</v>
      </c>
      <c r="F9" s="12">
        <v>0</v>
      </c>
      <c r="G9" s="13">
        <v>0</v>
      </c>
      <c r="H9" s="41">
        <v>4800</v>
      </c>
      <c r="I9" s="17">
        <v>2.75971</v>
      </c>
      <c r="J9" s="10">
        <v>412415</v>
      </c>
      <c r="K9" s="38">
        <v>1.56967</v>
      </c>
      <c r="L9" s="15">
        <v>1191</v>
      </c>
      <c r="M9" s="16">
        <f>776946.27/1000</f>
        <v>776.94627</v>
      </c>
      <c r="N9" s="10">
        <v>379</v>
      </c>
      <c r="O9" s="18">
        <f t="shared" si="0"/>
        <v>2.96667</v>
      </c>
      <c r="P9" s="10">
        <v>34941</v>
      </c>
      <c r="Q9" s="16">
        <v>2.71204739126</v>
      </c>
      <c r="R9" s="54">
        <f>B9+D9+F9+H9+J9+N9+P9</f>
        <v>1052503</v>
      </c>
      <c r="S9" s="52">
        <f t="shared" si="2"/>
        <v>1191</v>
      </c>
      <c r="T9" s="55">
        <f t="shared" si="3"/>
        <v>2.949568879564254</v>
      </c>
    </row>
    <row r="10" spans="1:20" ht="12.75">
      <c r="A10" s="6" t="s">
        <v>5</v>
      </c>
      <c r="B10" s="10">
        <v>589238</v>
      </c>
      <c r="C10" s="16">
        <f>1414706.85/B10</f>
        <v>2.4009090554241244</v>
      </c>
      <c r="D10" s="10">
        <v>16301</v>
      </c>
      <c r="E10" s="16">
        <f>35590.52/D10</f>
        <v>2.1833335378197654</v>
      </c>
      <c r="F10" s="12">
        <v>0</v>
      </c>
      <c r="G10" s="13">
        <v>0</v>
      </c>
      <c r="H10" s="41">
        <v>4800</v>
      </c>
      <c r="I10" s="18">
        <v>2.8114</v>
      </c>
      <c r="J10" s="10">
        <v>1756718</v>
      </c>
      <c r="K10" s="38">
        <v>1.40176</v>
      </c>
      <c r="L10" s="15">
        <v>4611</v>
      </c>
      <c r="M10" s="16">
        <v>728.60192</v>
      </c>
      <c r="N10" s="10">
        <v>460</v>
      </c>
      <c r="O10" s="18">
        <f t="shared" si="0"/>
        <v>2.96667</v>
      </c>
      <c r="P10" s="10">
        <v>60747</v>
      </c>
      <c r="Q10" s="16">
        <v>2.60837894182</v>
      </c>
      <c r="R10" s="54">
        <f t="shared" si="1"/>
        <v>2428264</v>
      </c>
      <c r="S10" s="52">
        <f t="shared" si="2"/>
        <v>4611</v>
      </c>
      <c r="T10" s="55">
        <f>(B10*C10+D10*E10+F10*G10+H10*I10+J10*K10+L10*M10+N10*O10+P10*Q10)/R10</f>
        <v>3.0662598591334134</v>
      </c>
    </row>
    <row r="11" spans="1:20" ht="12.75">
      <c r="A11" s="6" t="s">
        <v>6</v>
      </c>
      <c r="B11" s="10">
        <v>592012</v>
      </c>
      <c r="C11" s="16">
        <f>1434147.8/B11</f>
        <v>2.4224978547732143</v>
      </c>
      <c r="D11" s="10">
        <v>13681</v>
      </c>
      <c r="E11" s="16">
        <f>30440.22/D11</f>
        <v>2.22499963452964</v>
      </c>
      <c r="F11" s="12">
        <v>0</v>
      </c>
      <c r="G11" s="19">
        <v>0</v>
      </c>
      <c r="H11" s="10">
        <v>4800</v>
      </c>
      <c r="I11" s="17">
        <v>2.75349</v>
      </c>
      <c r="J11" s="10">
        <v>1330391</v>
      </c>
      <c r="K11" s="38">
        <v>1.40448</v>
      </c>
      <c r="L11" s="15">
        <v>3128</v>
      </c>
      <c r="M11" s="16">
        <v>772.65613</v>
      </c>
      <c r="N11" s="10">
        <v>458</v>
      </c>
      <c r="O11" s="18">
        <f>ROUND(3.64/1.2,5)</f>
        <v>3.03333</v>
      </c>
      <c r="P11" s="10">
        <v>62937</v>
      </c>
      <c r="Q11" s="16">
        <v>2.5526731291</v>
      </c>
      <c r="R11" s="54">
        <f t="shared" si="1"/>
        <v>2004279</v>
      </c>
      <c r="S11" s="52">
        <f t="shared" si="2"/>
        <v>3128</v>
      </c>
      <c r="T11" s="55">
        <f t="shared" si="3"/>
        <v>2.9562887962135846</v>
      </c>
    </row>
    <row r="12" spans="1:20" ht="12.75">
      <c r="A12" s="6" t="s">
        <v>7</v>
      </c>
      <c r="B12" s="10">
        <v>626021</v>
      </c>
      <c r="C12" s="16">
        <f>(1837424.85-306237.47)/B12</f>
        <v>2.445904178933295</v>
      </c>
      <c r="D12" s="10">
        <v>14473</v>
      </c>
      <c r="E12" s="16">
        <f>32202.42/D12</f>
        <v>2.2249996545291233</v>
      </c>
      <c r="F12" s="12">
        <v>0</v>
      </c>
      <c r="G12" s="17">
        <v>0</v>
      </c>
      <c r="H12" s="10">
        <v>2400</v>
      </c>
      <c r="I12" s="17">
        <v>2.73251</v>
      </c>
      <c r="J12" s="10">
        <v>942450</v>
      </c>
      <c r="K12" s="38">
        <v>1.45884</v>
      </c>
      <c r="L12" s="15">
        <v>2213</v>
      </c>
      <c r="M12" s="16">
        <v>765.64447</v>
      </c>
      <c r="N12" s="10">
        <v>483</v>
      </c>
      <c r="O12" s="18">
        <f>ROUND(3.64/1.2,5)</f>
        <v>3.03333</v>
      </c>
      <c r="P12" s="10">
        <v>62423</v>
      </c>
      <c r="Q12" s="16">
        <v>2.51589805292</v>
      </c>
      <c r="R12" s="54">
        <f t="shared" si="1"/>
        <v>1648250</v>
      </c>
      <c r="S12" s="52">
        <f t="shared" si="2"/>
        <v>2213</v>
      </c>
      <c r="T12" s="55">
        <f t="shared" si="3"/>
        <v>2.9107949623281817</v>
      </c>
    </row>
    <row r="13" spans="1:20" ht="12.75">
      <c r="A13" s="6" t="s">
        <v>13</v>
      </c>
      <c r="B13" s="10">
        <v>621612</v>
      </c>
      <c r="C13" s="16">
        <f>(1561952.91/B13)</f>
        <v>2.51274574815158</v>
      </c>
      <c r="D13" s="10">
        <v>16509</v>
      </c>
      <c r="E13" s="16">
        <f>36732.52/D13</f>
        <v>2.224999697134896</v>
      </c>
      <c r="F13" s="12">
        <v>925945</v>
      </c>
      <c r="G13" s="17">
        <v>1.33853</v>
      </c>
      <c r="H13" s="10">
        <v>2400</v>
      </c>
      <c r="I13" s="17">
        <v>2.87441</v>
      </c>
      <c r="J13" s="10">
        <v>1946934</v>
      </c>
      <c r="K13" s="38">
        <v>1.42297</v>
      </c>
      <c r="L13" s="15">
        <v>5219</v>
      </c>
      <c r="M13" s="16">
        <v>793.13223</v>
      </c>
      <c r="N13" s="10">
        <v>489</v>
      </c>
      <c r="O13" s="18">
        <f>ROUND(3.64/1.2,5)</f>
        <v>3.03333</v>
      </c>
      <c r="P13" s="10">
        <v>60184</v>
      </c>
      <c r="Q13" s="16">
        <v>2.61561273376</v>
      </c>
      <c r="R13" s="54">
        <f t="shared" si="1"/>
        <v>3574073</v>
      </c>
      <c r="S13" s="52">
        <f t="shared" si="2"/>
        <v>5219</v>
      </c>
      <c r="T13" s="55">
        <f t="shared" si="3"/>
        <v>2.773775547488429</v>
      </c>
    </row>
    <row r="14" spans="1:20" ht="12.75">
      <c r="A14" s="6" t="s">
        <v>14</v>
      </c>
      <c r="B14" s="10">
        <f>('[2]Цены с розницы'!$B$14+'[2]Цены с розницы'!$D$14+'[2]Цены с розницы'!$F$14)*1000</f>
        <v>766730.0000000001</v>
      </c>
      <c r="C14" s="11">
        <f>'[2]Цены с розницы'!$H$14/1000</f>
        <v>2.41294</v>
      </c>
      <c r="D14" s="10">
        <f>'[2]Цены с розницы'!$I$14*1000</f>
        <v>14233</v>
      </c>
      <c r="E14" s="16">
        <f>'[2]Цены с розницы'!$J$14/1000</f>
        <v>2.225</v>
      </c>
      <c r="F14" s="12">
        <f>'[2]Цены с розницы'!$K$14*1000</f>
        <v>1180538</v>
      </c>
      <c r="G14" s="17">
        <f>'[2]Цены с розницы'!$L$14/1000</f>
        <v>1.29238</v>
      </c>
      <c r="H14" s="41">
        <f>'[2]Цены с розницы'!$R$14*1000</f>
        <v>4800</v>
      </c>
      <c r="I14" s="17">
        <f>'[2]Цены с розницы'!$S$14/1000</f>
        <v>2.78164</v>
      </c>
      <c r="J14" s="10">
        <f>'[2]Цены с розницы'!$M$14*1000</f>
        <v>3764543</v>
      </c>
      <c r="K14" s="38">
        <f>'[2]Цены с розницы'!$N$14/1000</f>
        <v>1.32621</v>
      </c>
      <c r="L14" s="15">
        <f>'[2]Цены с розницы'!$O$14*1000</f>
        <v>8090</v>
      </c>
      <c r="M14" s="16">
        <f>'[2]Цены с розницы'!$P$14/1000</f>
        <v>830.85582</v>
      </c>
      <c r="N14" s="10">
        <f>'[2]Цены с розницы'!$T$14*1000</f>
        <v>502</v>
      </c>
      <c r="O14" s="18">
        <f>'[2]Цены с розницы'!$U$14/1000</f>
        <v>3.03333</v>
      </c>
      <c r="P14" s="10">
        <f>'[2]Цены с розницы'!$W$14*1000</f>
        <v>61420</v>
      </c>
      <c r="Q14" s="16">
        <f>'[2]Цены с розницы'!$X$14/1000</f>
        <v>2.45938464465</v>
      </c>
      <c r="R14" s="54">
        <f t="shared" si="1"/>
        <v>5792766</v>
      </c>
      <c r="S14" s="52">
        <f>L14</f>
        <v>8090</v>
      </c>
      <c r="T14" s="55">
        <f t="shared" si="3"/>
        <v>2.6390801520386638</v>
      </c>
    </row>
    <row r="15" spans="1:20" ht="12.75">
      <c r="A15" s="6" t="s">
        <v>15</v>
      </c>
      <c r="B15" s="10">
        <v>815472</v>
      </c>
      <c r="C15" s="16">
        <f>(2248000.08-374666.68)/B15</f>
        <v>2.2972381639099813</v>
      </c>
      <c r="D15" s="10">
        <v>15618</v>
      </c>
      <c r="E15" s="16">
        <f>(41700.06-6950.01)/D15</f>
        <v>2.2249999999999996</v>
      </c>
      <c r="F15" s="12">
        <v>1232687</v>
      </c>
      <c r="G15" s="17">
        <v>1.14034</v>
      </c>
      <c r="H15" s="10">
        <v>2400</v>
      </c>
      <c r="I15" s="17">
        <v>2.73051</v>
      </c>
      <c r="J15" s="10">
        <v>2693390</v>
      </c>
      <c r="K15" s="38">
        <v>1.17678</v>
      </c>
      <c r="L15" s="15">
        <v>6798</v>
      </c>
      <c r="M15" s="16">
        <v>801.94969</v>
      </c>
      <c r="N15" s="10">
        <v>475</v>
      </c>
      <c r="O15" s="18">
        <f>'[2]Цены с розницы'!$U$14/1000</f>
        <v>3.03333</v>
      </c>
      <c r="P15" s="10">
        <v>60786</v>
      </c>
      <c r="Q15" s="16">
        <v>2.3813814618</v>
      </c>
      <c r="R15" s="54">
        <f t="shared" si="1"/>
        <v>4820828</v>
      </c>
      <c r="S15" s="52">
        <f t="shared" si="2"/>
        <v>6798</v>
      </c>
      <c r="T15" s="55">
        <f>(B15*C15+D15*E15+F15*G15+H15*I15+J15*K15+L15*M15+N15*O15+P15*Q15)/R15</f>
        <v>2.507390002233429</v>
      </c>
    </row>
    <row r="16" spans="1:20" ht="13.5" thickBot="1">
      <c r="A16" s="7" t="s">
        <v>16</v>
      </c>
      <c r="B16" s="20">
        <v>799086</v>
      </c>
      <c r="C16" s="21">
        <f>(2353052.27-392175.38)/B16</f>
        <v>2.4538996928991375</v>
      </c>
      <c r="D16" s="20">
        <v>14417</v>
      </c>
      <c r="E16" s="21">
        <f>(32077.82/D16)</f>
        <v>2.2249996531872096</v>
      </c>
      <c r="F16" s="22">
        <v>1344595</v>
      </c>
      <c r="G16" s="23">
        <v>1.3543</v>
      </c>
      <c r="H16" s="20">
        <v>4800</v>
      </c>
      <c r="I16" s="17">
        <v>2.77767</v>
      </c>
      <c r="J16" s="24">
        <v>3681636</v>
      </c>
      <c r="K16" s="39">
        <v>1.36537</v>
      </c>
      <c r="L16" s="25">
        <v>8272</v>
      </c>
      <c r="M16" s="26">
        <v>798.1614</v>
      </c>
      <c r="N16" s="24">
        <v>439</v>
      </c>
      <c r="O16" s="18">
        <f>'[2]Цены с розницы'!$U$14/1000</f>
        <v>3.03333</v>
      </c>
      <c r="P16" s="24">
        <v>63188</v>
      </c>
      <c r="Q16" s="26">
        <v>2.67636240863</v>
      </c>
      <c r="R16" s="54">
        <f t="shared" si="1"/>
        <v>5908161</v>
      </c>
      <c r="S16" s="59">
        <f t="shared" si="2"/>
        <v>8272</v>
      </c>
      <c r="T16" s="55">
        <f t="shared" si="3"/>
        <v>2.6449693230036404</v>
      </c>
    </row>
    <row r="17" spans="1:20" ht="16.5" customHeight="1" thickBot="1">
      <c r="A17" s="4" t="s">
        <v>9</v>
      </c>
      <c r="B17" s="27">
        <f>B5+B6+B7+B8+B9+B10+B11+B12+B13+B14+B15+B16</f>
        <v>8666772</v>
      </c>
      <c r="C17" s="8" t="s">
        <v>27</v>
      </c>
      <c r="D17" s="27">
        <f>D5+D6+D7+D8+D9+D10+D11+D12+D13+D14+D15+D16</f>
        <v>194479</v>
      </c>
      <c r="E17" s="8" t="s">
        <v>27</v>
      </c>
      <c r="F17" s="27">
        <f>F5+F6+F7+F8+F9+F10+F11+F12+F13+F14+F15+F16</f>
        <v>4683765</v>
      </c>
      <c r="G17" s="28" t="s">
        <v>27</v>
      </c>
      <c r="H17" s="27">
        <f>H5+H6+H7+H8+H9+H10+H11+H12+H13+H14+H15+H16</f>
        <v>43200</v>
      </c>
      <c r="I17" s="28" t="s">
        <v>27</v>
      </c>
      <c r="J17" s="27">
        <f>J5+J6+J7+J8+J9+J10+J11+J12+J13+J14+J15+J16</f>
        <v>24664036</v>
      </c>
      <c r="K17" s="29" t="s">
        <v>27</v>
      </c>
      <c r="L17" s="30">
        <f>(L5+L6+L7+L8+L9+L10+L11+L12+L13+L14+L15+L16)/12</f>
        <v>5050.25</v>
      </c>
      <c r="M17" s="8" t="s">
        <v>27</v>
      </c>
      <c r="N17" s="27">
        <f>N5+N6+N7+N8+N9+N10+N11+N12+N13+N14+N15+N16</f>
        <v>5603</v>
      </c>
      <c r="O17" s="51" t="s">
        <v>27</v>
      </c>
      <c r="P17" s="27">
        <f>P8+P7+P6+P5+P9+P10+P11+P12+P13+P14+P15+P16</f>
        <v>719903</v>
      </c>
      <c r="Q17" s="40" t="s">
        <v>27</v>
      </c>
      <c r="R17" s="27">
        <f>SUM(R5:R16)</f>
        <v>38977758</v>
      </c>
      <c r="S17" s="29">
        <f>SUM(S5:S16)/12</f>
        <v>5050.25</v>
      </c>
      <c r="T17" s="8" t="s">
        <v>27</v>
      </c>
    </row>
    <row r="19" spans="2:20" ht="12.75" hidden="1">
      <c r="B19" s="2">
        <f>B5+B6+B7+B8+B9+B10</f>
        <v>4445839</v>
      </c>
      <c r="C19" s="2">
        <f aca="true" t="shared" si="4" ref="C19:T19">C5+C6+C7+C8+C9+C10</f>
        <v>14.416895285148291</v>
      </c>
      <c r="D19" s="2">
        <f t="shared" si="4"/>
        <v>105548</v>
      </c>
      <c r="E19" s="2">
        <f t="shared" si="4"/>
        <v>13.317307594653549</v>
      </c>
      <c r="F19" s="2">
        <f t="shared" si="4"/>
        <v>0</v>
      </c>
      <c r="G19" s="2">
        <f t="shared" si="4"/>
        <v>0</v>
      </c>
      <c r="H19" s="2">
        <f t="shared" si="4"/>
        <v>21600</v>
      </c>
      <c r="I19" s="2">
        <f t="shared" si="4"/>
        <v>16.5429</v>
      </c>
      <c r="J19" s="2">
        <f t="shared" si="4"/>
        <v>10304692</v>
      </c>
      <c r="K19" s="2">
        <f t="shared" si="4"/>
        <v>8.484639999999999</v>
      </c>
      <c r="L19" s="2">
        <f t="shared" si="4"/>
        <v>26883</v>
      </c>
      <c r="M19" s="2">
        <f t="shared" si="4"/>
        <v>4549.96905</v>
      </c>
      <c r="N19" s="2">
        <f t="shared" si="4"/>
        <v>2757</v>
      </c>
      <c r="O19" s="2">
        <f t="shared" si="4"/>
        <v>17.80002</v>
      </c>
      <c r="P19" s="2">
        <f t="shared" si="4"/>
        <v>348965</v>
      </c>
      <c r="Q19" s="2">
        <f t="shared" si="4"/>
        <v>13.182475693553538</v>
      </c>
      <c r="R19" s="2">
        <f t="shared" si="4"/>
        <v>15229401</v>
      </c>
      <c r="S19" s="2">
        <f t="shared" si="4"/>
        <v>26883</v>
      </c>
      <c r="T19" s="2">
        <f t="shared" si="4"/>
        <v>18.284629164326514</v>
      </c>
    </row>
  </sheetData>
  <sheetProtection/>
  <mergeCells count="9">
    <mergeCell ref="N3:O3"/>
    <mergeCell ref="R3:T3"/>
    <mergeCell ref="A3:A4"/>
    <mergeCell ref="B3:C3"/>
    <mergeCell ref="D3:E3"/>
    <mergeCell ref="F3:G3"/>
    <mergeCell ref="H3:I3"/>
    <mergeCell ref="J3:M3"/>
    <mergeCell ref="P3:Q3"/>
  </mergeCells>
  <printOptions/>
  <pageMargins left="0.3937007874015748" right="0.3937007874015748" top="0.984251968503937" bottom="0.984251968503937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Коновалова</dc:creator>
  <cp:keywords/>
  <dc:description/>
  <cp:lastModifiedBy>Напалкова </cp:lastModifiedBy>
  <cp:lastPrinted>2019-12-20T08:32:27Z</cp:lastPrinted>
  <dcterms:created xsi:type="dcterms:W3CDTF">2010-10-04T09:50:11Z</dcterms:created>
  <dcterms:modified xsi:type="dcterms:W3CDTF">2020-01-21T10:19:48Z</dcterms:modified>
  <cp:category/>
  <cp:version/>
  <cp:contentType/>
  <cp:contentStatus/>
</cp:coreProperties>
</file>