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599" firstSheet="7" activeTab="18"/>
  </bookViews>
  <sheets>
    <sheet name="январь факт" sheetId="1" r:id="rId1"/>
    <sheet name="февраль факт" sheetId="2" r:id="rId2"/>
    <sheet name="март фaкт" sheetId="3" r:id="rId3"/>
    <sheet name="1 квартал" sheetId="4" r:id="rId4"/>
    <sheet name="апрель факт" sheetId="5" r:id="rId5"/>
    <sheet name="май факт" sheetId="6" r:id="rId6"/>
    <sheet name="июнь факт " sheetId="7" r:id="rId7"/>
    <sheet name="2 квартал" sheetId="8" r:id="rId8"/>
    <sheet name="1 полугодие" sheetId="9" r:id="rId9"/>
    <sheet name="июль" sheetId="10" r:id="rId10"/>
    <sheet name="август факт" sheetId="11" r:id="rId11"/>
    <sheet name="сентябрь факт" sheetId="12" r:id="rId12"/>
    <sheet name="3 квартал" sheetId="13" r:id="rId13"/>
    <sheet name="октябрь факт" sheetId="14" r:id="rId14"/>
    <sheet name="ноябрь факт" sheetId="15" r:id="rId15"/>
    <sheet name="декабрь факт " sheetId="16" r:id="rId16"/>
    <sheet name="4 квартал" sheetId="17" r:id="rId17"/>
    <sheet name="2 полугодие" sheetId="18" r:id="rId18"/>
    <sheet name="всего" sheetId="19" r:id="rId19"/>
  </sheets>
  <definedNames/>
  <calcPr fullCalcOnLoad="1"/>
</workbook>
</file>

<file path=xl/sharedStrings.xml><?xml version="1.0" encoding="utf-8"?>
<sst xmlns="http://schemas.openxmlformats.org/spreadsheetml/2006/main" count="1976" uniqueCount="73">
  <si>
    <t>ВН</t>
  </si>
  <si>
    <t>СН1</t>
  </si>
  <si>
    <t>СН2</t>
  </si>
  <si>
    <t>НН</t>
  </si>
  <si>
    <t>ООО "ВКМ-Сталь"</t>
  </si>
  <si>
    <t>ООО "Энерголин"</t>
  </si>
  <si>
    <t>ОАО "Биохимик"</t>
  </si>
  <si>
    <t>ОАО "Мордовская электротеплосетевая компания"</t>
  </si>
  <si>
    <t>МП г.о. Саранск "Горсвет"</t>
  </si>
  <si>
    <t>АВГУСТ</t>
  </si>
  <si>
    <t>население всего</t>
  </si>
  <si>
    <t>город</t>
  </si>
  <si>
    <t>село</t>
  </si>
  <si>
    <t xml:space="preserve">Прочие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</si>
  <si>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</si>
  <si>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</si>
  <si>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</si>
  <si>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</si>
  <si>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</si>
  <si>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</si>
  <si>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</si>
  <si>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ОАО "Ремстроймаш"</t>
  </si>
  <si>
    <t>ООО "Бурводстрой"</t>
  </si>
  <si>
    <t>ГУП РМ "Лисма"</t>
  </si>
  <si>
    <t>ОАО "Саранский завод Автосамосвалов"</t>
  </si>
  <si>
    <t>ООО "Производственная фирма "Жилкоммунстрой"</t>
  </si>
  <si>
    <t>ОАО "Саранский завод "Резинотехника"</t>
  </si>
  <si>
    <t>ООО "МордовОпцент"</t>
  </si>
  <si>
    <t>ФКП "Саранский Механическийзавод"</t>
  </si>
  <si>
    <t xml:space="preserve">ООО "ТеплоЛюкс-М" </t>
  </si>
  <si>
    <t>1 квартал</t>
  </si>
  <si>
    <t>тыс.кВтч.</t>
  </si>
  <si>
    <t>Фактический полезный отпуск электроэнергии и мощности по тарифным группам в разрезе ТСО ( территориальных сетевых организаций ) с выделением населения</t>
  </si>
  <si>
    <t xml:space="preserve">СЕНТЯБРЬ </t>
  </si>
  <si>
    <t xml:space="preserve">ДЕКАБРЬ </t>
  </si>
  <si>
    <t xml:space="preserve">НОЯБРЬ </t>
  </si>
  <si>
    <t xml:space="preserve">ОКТЯБРЬ </t>
  </si>
  <si>
    <t>3 квартал</t>
  </si>
  <si>
    <t>4 квартал</t>
  </si>
  <si>
    <t>за ЯНВАРЬ 2012 г.</t>
  </si>
  <si>
    <t>за ФЕВРАЛЬ 2012 г.</t>
  </si>
  <si>
    <t>за МАРТ 2012 г.</t>
  </si>
  <si>
    <t>за 1 квартал 2012 г.</t>
  </si>
  <si>
    <t>за АПРЕЛЬ 2012 г.</t>
  </si>
  <si>
    <t>за МАЙ 2012 г.</t>
  </si>
  <si>
    <t>за ИЮНЬ 2012 г.</t>
  </si>
  <si>
    <t>за 2 квартал 2012 г.</t>
  </si>
  <si>
    <t>за 1 полугодие 2012 г.</t>
  </si>
  <si>
    <t>за ИЮЛЬ 2012 г.</t>
  </si>
  <si>
    <t>за АВГУСТ 2012 г.</t>
  </si>
  <si>
    <t>за СЕНТЯБРЬ 2012 г.</t>
  </si>
  <si>
    <t>за 2012 г.</t>
  </si>
  <si>
    <t>2012 г.</t>
  </si>
  <si>
    <t>за 4 квартал 2012 г.</t>
  </si>
  <si>
    <t>за ДЕКАБРЬ 2012 г.</t>
  </si>
  <si>
    <t>за НОЯБРЬ 2012 г.</t>
  </si>
  <si>
    <t>за 3 квартал 2012 г.</t>
  </si>
  <si>
    <t>Филиал ОАО "МРСК Волги" - "Мордовэнерго"</t>
  </si>
  <si>
    <t>ООО "Электротеплосеть" Зубово-Поляна</t>
  </si>
  <si>
    <t xml:space="preserve">ООО "Мордовская региональная теплоснабжающая компания" </t>
  </si>
  <si>
    <t>Горьковская дирекция ОАО "РЖД"</t>
  </si>
  <si>
    <t>Филиал "Приволжский" ОАО "Оборонэнерго"</t>
  </si>
  <si>
    <t xml:space="preserve">Куйбышевская дирекция по энергообеспечению - структурное подразделение Трансэнерго - филиала ОАО "РЖД"  </t>
  </si>
  <si>
    <t>Авалон-С</t>
  </si>
  <si>
    <t>МП Лямбирского района РМ "Жилищно-коммунальное хозяйство "Елховское"</t>
  </si>
  <si>
    <t xml:space="preserve">Филиал ООО "Системы жизнеобеспечения РМ" </t>
  </si>
  <si>
    <t>ВСЕГО</t>
  </si>
  <si>
    <t>2 квартал</t>
  </si>
  <si>
    <t>1 полугодие</t>
  </si>
  <si>
    <t>за 2 полугодие 2012 г.</t>
  </si>
  <si>
    <t>2 полугодие</t>
  </si>
  <si>
    <t>ООО "МордовОпцентр"</t>
  </si>
  <si>
    <t>за ОКТЯБРЬ 2012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</si>
</sst>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00"/>
    <numFmt numFmtId="170" formatCode="0.000000"/>
    <numFmt numFmtId="171" formatCode="0.0%"/>
    <numFmt numFmtId="172" formatCode="0.000%"/>
    <numFmt numFmtId="173" formatCode="#,##0.0"/>
  </numFmts>
  <fonts count="35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Helv"/>
      <family val="0"/>
    </font>
    <font>
      <b/>
      <sz val="14"/>
      <name val="Arial"/>
      <family val="2"/>
    </font>
    <font>
      <b/>
      <sz val="14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b/>
      <i/>
      <sz val="14"/>
      <name val="Arial Cyr"/>
      <family val="0"/>
    </font>
    <font>
      <sz val="14"/>
      <name val="Helv"/>
      <family val="0"/>
    </font>
    <font>
      <b/>
      <sz val="1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4" fontId="3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69">
    <xf numFmtId="0" fontId="0" fillId="0" borderId="0" xfId="0" applyNumberFormat="1" applyAlignment="1">
      <alignment/>
    </xf>
    <xf numFmtId="3" fontId="1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vertical="center"/>
    </xf>
    <xf numFmtId="168" fontId="6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68" fontId="6" fillId="0" borderId="11" xfId="0" applyNumberFormat="1" applyFont="1" applyFill="1" applyBorder="1" applyAlignment="1">
      <alignment vertical="center"/>
    </xf>
    <xf numFmtId="168" fontId="6" fillId="0" borderId="12" xfId="0" applyNumberFormat="1" applyFont="1" applyFill="1" applyBorder="1" applyAlignment="1">
      <alignment vertical="center"/>
    </xf>
    <xf numFmtId="168" fontId="8" fillId="0" borderId="11" xfId="0" applyNumberFormat="1" applyFont="1" applyFill="1" applyBorder="1" applyAlignment="1">
      <alignment vertical="center"/>
    </xf>
    <xf numFmtId="168" fontId="7" fillId="0" borderId="11" xfId="0" applyNumberFormat="1" applyFont="1" applyFill="1" applyBorder="1" applyAlignment="1">
      <alignment vertical="center"/>
    </xf>
    <xf numFmtId="168" fontId="7" fillId="0" borderId="12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/>
    </xf>
    <xf numFmtId="168" fontId="6" fillId="0" borderId="13" xfId="0" applyNumberFormat="1" applyFont="1" applyFill="1" applyBorder="1" applyAlignment="1">
      <alignment vertical="center"/>
    </xf>
    <xf numFmtId="168" fontId="5" fillId="0" borderId="11" xfId="0" applyNumberFormat="1" applyFont="1" applyFill="1" applyBorder="1" applyAlignment="1">
      <alignment vertical="center"/>
    </xf>
    <xf numFmtId="168" fontId="5" fillId="0" borderId="12" xfId="0" applyNumberFormat="1" applyFont="1" applyFill="1" applyBorder="1" applyAlignment="1">
      <alignment vertical="center"/>
    </xf>
    <xf numFmtId="168" fontId="8" fillId="0" borderId="12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168" fontId="5" fillId="0" borderId="11" xfId="0" applyNumberFormat="1" applyFont="1" applyFill="1" applyBorder="1" applyAlignment="1">
      <alignment vertical="center"/>
    </xf>
    <xf numFmtId="168" fontId="5" fillId="0" borderId="12" xfId="0" applyNumberFormat="1" applyFont="1" applyFill="1" applyBorder="1" applyAlignment="1">
      <alignment vertical="center"/>
    </xf>
    <xf numFmtId="168" fontId="6" fillId="0" borderId="16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/>
    </xf>
    <xf numFmtId="168" fontId="8" fillId="0" borderId="16" xfId="0" applyNumberFormat="1" applyFont="1" applyFill="1" applyBorder="1" applyAlignment="1">
      <alignment vertical="center"/>
    </xf>
    <xf numFmtId="168" fontId="8" fillId="0" borderId="17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8" fillId="0" borderId="0" xfId="0" applyNumberFormat="1" applyFont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71" fontId="8" fillId="0" borderId="0" xfId="0" applyNumberFormat="1" applyFont="1" applyFill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168" fontId="6" fillId="0" borderId="19" xfId="0" applyNumberFormat="1" applyFont="1" applyFill="1" applyBorder="1" applyAlignment="1">
      <alignment vertical="center"/>
    </xf>
    <xf numFmtId="168" fontId="6" fillId="0" borderId="20" xfId="0" applyNumberFormat="1" applyFont="1" applyFill="1" applyBorder="1" applyAlignment="1">
      <alignment vertical="center"/>
    </xf>
    <xf numFmtId="168" fontId="6" fillId="0" borderId="21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/>
    </xf>
    <xf numFmtId="168" fontId="8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168" fontId="5" fillId="0" borderId="26" xfId="0" applyNumberFormat="1" applyFont="1" applyFill="1" applyBorder="1" applyAlignment="1">
      <alignment vertical="center"/>
    </xf>
    <xf numFmtId="168" fontId="5" fillId="0" borderId="27" xfId="0" applyNumberFormat="1" applyFont="1" applyFill="1" applyBorder="1" applyAlignment="1">
      <alignment vertical="center"/>
    </xf>
    <xf numFmtId="0" fontId="6" fillId="0" borderId="28" xfId="0" applyNumberFormat="1" applyFont="1" applyFill="1" applyBorder="1" applyAlignment="1">
      <alignment horizontal="left" vertical="center" wrapText="1"/>
    </xf>
    <xf numFmtId="168" fontId="6" fillId="0" borderId="23" xfId="0" applyNumberFormat="1" applyFont="1" applyFill="1" applyBorder="1" applyAlignment="1">
      <alignment vertical="center"/>
    </xf>
    <xf numFmtId="168" fontId="6" fillId="0" borderId="25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vertical="center"/>
    </xf>
    <xf numFmtId="168" fontId="6" fillId="0" borderId="32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vertical="center" wrapText="1"/>
    </xf>
    <xf numFmtId="3" fontId="6" fillId="0" borderId="33" xfId="0" applyNumberFormat="1" applyFont="1" applyFill="1" applyBorder="1" applyAlignment="1">
      <alignment horizontal="center" vertical="center"/>
    </xf>
    <xf numFmtId="168" fontId="5" fillId="0" borderId="19" xfId="0" applyNumberFormat="1" applyFont="1" applyFill="1" applyBorder="1" applyAlignment="1">
      <alignment vertical="center"/>
    </xf>
    <xf numFmtId="168" fontId="5" fillId="0" borderId="2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6" fillId="0" borderId="31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168" fontId="6" fillId="0" borderId="36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169" fontId="8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171" fontId="8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8" fontId="6" fillId="24" borderId="11" xfId="0" applyNumberFormat="1" applyFont="1" applyFill="1" applyBorder="1" applyAlignment="1">
      <alignment vertical="center"/>
    </xf>
    <xf numFmtId="168" fontId="6" fillId="24" borderId="12" xfId="0" applyNumberFormat="1" applyFont="1" applyFill="1" applyBorder="1" applyAlignment="1">
      <alignment vertical="center"/>
    </xf>
    <xf numFmtId="168" fontId="5" fillId="24" borderId="11" xfId="0" applyNumberFormat="1" applyFont="1" applyFill="1" applyBorder="1" applyAlignment="1">
      <alignment vertical="center"/>
    </xf>
    <xf numFmtId="168" fontId="8" fillId="24" borderId="11" xfId="0" applyNumberFormat="1" applyFont="1" applyFill="1" applyBorder="1" applyAlignment="1">
      <alignment vertical="center"/>
    </xf>
    <xf numFmtId="168" fontId="8" fillId="24" borderId="12" xfId="0" applyNumberFormat="1" applyFont="1" applyFill="1" applyBorder="1" applyAlignment="1">
      <alignment vertical="center"/>
    </xf>
    <xf numFmtId="168" fontId="7" fillId="0" borderId="11" xfId="0" applyNumberFormat="1" applyFont="1" applyFill="1" applyBorder="1" applyAlignment="1">
      <alignment vertical="center"/>
    </xf>
    <xf numFmtId="168" fontId="7" fillId="0" borderId="12" xfId="0" applyNumberFormat="1" applyFont="1" applyFill="1" applyBorder="1" applyAlignment="1">
      <alignment vertical="center"/>
    </xf>
    <xf numFmtId="168" fontId="5" fillId="0" borderId="11" xfId="0" applyNumberFormat="1" applyFont="1" applyFill="1" applyBorder="1" applyAlignment="1">
      <alignment vertical="center"/>
    </xf>
    <xf numFmtId="168" fontId="5" fillId="0" borderId="12" xfId="0" applyNumberFormat="1" applyFont="1" applyFill="1" applyBorder="1" applyAlignment="1">
      <alignment vertical="center"/>
    </xf>
    <xf numFmtId="168" fontId="5" fillId="0" borderId="19" xfId="0" applyNumberFormat="1" applyFont="1" applyFill="1" applyBorder="1" applyAlignment="1">
      <alignment vertical="center"/>
    </xf>
    <xf numFmtId="168" fontId="5" fillId="0" borderId="20" xfId="0" applyNumberFormat="1" applyFont="1" applyFill="1" applyBorder="1" applyAlignment="1">
      <alignment vertical="center"/>
    </xf>
    <xf numFmtId="168" fontId="7" fillId="0" borderId="11" xfId="0" applyNumberFormat="1" applyFont="1" applyBorder="1" applyAlignment="1">
      <alignment vertical="center" wrapText="1"/>
    </xf>
    <xf numFmtId="168" fontId="7" fillId="0" borderId="12" xfId="0" applyNumberFormat="1" applyFont="1" applyBorder="1" applyAlignment="1">
      <alignment vertical="center" wrapText="1"/>
    </xf>
    <xf numFmtId="168" fontId="8" fillId="0" borderId="13" xfId="0" applyNumberFormat="1" applyFont="1" applyFill="1" applyBorder="1" applyAlignment="1">
      <alignment vertical="center"/>
    </xf>
    <xf numFmtId="168" fontId="8" fillId="0" borderId="37" xfId="0" applyNumberFormat="1" applyFont="1" applyFill="1" applyBorder="1" applyAlignment="1">
      <alignment vertical="center"/>
    </xf>
    <xf numFmtId="168" fontId="5" fillId="24" borderId="19" xfId="0" applyNumberFormat="1" applyFont="1" applyFill="1" applyBorder="1" applyAlignment="1">
      <alignment vertical="center"/>
    </xf>
    <xf numFmtId="168" fontId="5" fillId="24" borderId="20" xfId="0" applyNumberFormat="1" applyFont="1" applyFill="1" applyBorder="1" applyAlignment="1">
      <alignment vertical="center"/>
    </xf>
    <xf numFmtId="168" fontId="5" fillId="24" borderId="12" xfId="0" applyNumberFormat="1" applyFont="1" applyFill="1" applyBorder="1" applyAlignment="1">
      <alignment vertical="center"/>
    </xf>
    <xf numFmtId="168" fontId="8" fillId="24" borderId="16" xfId="0" applyNumberFormat="1" applyFont="1" applyFill="1" applyBorder="1" applyAlignment="1">
      <alignment vertical="center"/>
    </xf>
    <xf numFmtId="168" fontId="8" fillId="24" borderId="17" xfId="0" applyNumberFormat="1" applyFont="1" applyFill="1" applyBorder="1" applyAlignment="1">
      <alignment vertical="center"/>
    </xf>
    <xf numFmtId="0" fontId="6" fillId="0" borderId="32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/>
    </xf>
    <xf numFmtId="168" fontId="7" fillId="0" borderId="11" xfId="0" applyNumberFormat="1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vertical="center" wrapText="1"/>
    </xf>
    <xf numFmtId="168" fontId="6" fillId="0" borderId="12" xfId="0" applyNumberFormat="1" applyFont="1" applyFill="1" applyBorder="1" applyAlignment="1">
      <alignment vertical="center" wrapText="1"/>
    </xf>
    <xf numFmtId="168" fontId="5" fillId="0" borderId="12" xfId="0" applyNumberFormat="1" applyFont="1" applyFill="1" applyBorder="1" applyAlignment="1">
      <alignment vertical="center" wrapText="1"/>
    </xf>
    <xf numFmtId="0" fontId="9" fillId="0" borderId="21" xfId="0" applyNumberFormat="1" applyFont="1" applyFill="1" applyBorder="1" applyAlignment="1">
      <alignment horizontal="left" vertical="center" wrapText="1"/>
    </xf>
    <xf numFmtId="168" fontId="7" fillId="0" borderId="13" xfId="0" applyNumberFormat="1" applyFont="1" applyFill="1" applyBorder="1" applyAlignment="1">
      <alignment vertical="center"/>
    </xf>
    <xf numFmtId="168" fontId="7" fillId="0" borderId="37" xfId="0" applyNumberFormat="1" applyFont="1" applyFill="1" applyBorder="1" applyAlignment="1">
      <alignment vertical="center"/>
    </xf>
    <xf numFmtId="168" fontId="7" fillId="0" borderId="19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 wrapText="1"/>
    </xf>
    <xf numFmtId="168" fontId="6" fillId="0" borderId="39" xfId="0" applyNumberFormat="1" applyFont="1" applyFill="1" applyBorder="1" applyAlignment="1">
      <alignment vertical="center" wrapText="1"/>
    </xf>
    <xf numFmtId="168" fontId="7" fillId="0" borderId="13" xfId="0" applyNumberFormat="1" applyFont="1" applyFill="1" applyBorder="1" applyAlignment="1">
      <alignment vertical="center" wrapText="1"/>
    </xf>
    <xf numFmtId="168" fontId="7" fillId="0" borderId="37" xfId="0" applyNumberFormat="1" applyFont="1" applyFill="1" applyBorder="1" applyAlignment="1">
      <alignment vertical="center" wrapText="1"/>
    </xf>
    <xf numFmtId="168" fontId="6" fillId="0" borderId="24" xfId="0" applyNumberFormat="1" applyFont="1" applyFill="1" applyBorder="1" applyAlignment="1">
      <alignment vertical="center"/>
    </xf>
    <xf numFmtId="168" fontId="16" fillId="0" borderId="0" xfId="0" applyNumberFormat="1" applyFont="1" applyFill="1" applyAlignment="1">
      <alignment/>
    </xf>
    <xf numFmtId="168" fontId="7" fillId="0" borderId="16" xfId="0" applyNumberFormat="1" applyFont="1" applyFill="1" applyBorder="1" applyAlignment="1">
      <alignment vertical="center"/>
    </xf>
    <xf numFmtId="168" fontId="7" fillId="0" borderId="17" xfId="0" applyNumberFormat="1" applyFont="1" applyFill="1" applyBorder="1" applyAlignment="1">
      <alignment vertical="center"/>
    </xf>
    <xf numFmtId="168" fontId="6" fillId="0" borderId="26" xfId="0" applyNumberFormat="1" applyFont="1" applyFill="1" applyBorder="1" applyAlignment="1">
      <alignment vertical="center"/>
    </xf>
    <xf numFmtId="168" fontId="6" fillId="0" borderId="27" xfId="0" applyNumberFormat="1" applyFont="1" applyFill="1" applyBorder="1" applyAlignment="1">
      <alignment vertical="center"/>
    </xf>
    <xf numFmtId="168" fontId="6" fillId="24" borderId="26" xfId="0" applyNumberFormat="1" applyFont="1" applyFill="1" applyBorder="1" applyAlignment="1">
      <alignment vertical="center"/>
    </xf>
    <xf numFmtId="168" fontId="6" fillId="24" borderId="27" xfId="0" applyNumberFormat="1" applyFont="1" applyFill="1" applyBorder="1" applyAlignment="1">
      <alignment vertical="center"/>
    </xf>
    <xf numFmtId="168" fontId="7" fillId="0" borderId="11" xfId="0" applyNumberFormat="1" applyFont="1" applyBorder="1" applyAlignment="1">
      <alignment vertical="center"/>
    </xf>
    <xf numFmtId="168" fontId="7" fillId="0" borderId="12" xfId="0" applyNumberFormat="1" applyFont="1" applyBorder="1" applyAlignment="1">
      <alignment vertical="center"/>
    </xf>
    <xf numFmtId="168" fontId="7" fillId="0" borderId="19" xfId="0" applyNumberFormat="1" applyFont="1" applyFill="1" applyBorder="1" applyAlignment="1">
      <alignment vertical="center"/>
    </xf>
    <xf numFmtId="168" fontId="7" fillId="0" borderId="20" xfId="0" applyNumberFormat="1" applyFont="1" applyFill="1" applyBorder="1" applyAlignment="1">
      <alignment vertical="center"/>
    </xf>
    <xf numFmtId="168" fontId="5" fillId="0" borderId="11" xfId="0" applyNumberFormat="1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168" fontId="5" fillId="0" borderId="11" xfId="0" applyNumberFormat="1" applyFont="1" applyFill="1" applyBorder="1" applyAlignment="1">
      <alignment vertical="center" wrapText="1"/>
    </xf>
    <xf numFmtId="168" fontId="5" fillId="0" borderId="26" xfId="0" applyNumberFormat="1" applyFont="1" applyFill="1" applyBorder="1" applyAlignment="1">
      <alignment vertical="center"/>
    </xf>
    <xf numFmtId="168" fontId="5" fillId="0" borderId="27" xfId="0" applyNumberFormat="1" applyFont="1" applyFill="1" applyBorder="1" applyAlignment="1">
      <alignment vertical="center"/>
    </xf>
    <xf numFmtId="168" fontId="7" fillId="0" borderId="11" xfId="0" applyNumberFormat="1" applyFont="1" applyFill="1" applyBorder="1" applyAlignment="1">
      <alignment vertical="center" wrapText="1"/>
    </xf>
    <xf numFmtId="168" fontId="7" fillId="0" borderId="12" xfId="0" applyNumberFormat="1" applyFont="1" applyFill="1" applyBorder="1" applyAlignment="1">
      <alignment vertical="center" wrapText="1"/>
    </xf>
    <xf numFmtId="168" fontId="6" fillId="0" borderId="21" xfId="0" applyNumberFormat="1" applyFont="1" applyFill="1" applyBorder="1" applyAlignment="1">
      <alignment vertical="center" wrapText="1"/>
    </xf>
    <xf numFmtId="168" fontId="7" fillId="0" borderId="32" xfId="0" applyNumberFormat="1" applyFont="1" applyFill="1" applyBorder="1" applyAlignment="1">
      <alignment vertical="center"/>
    </xf>
    <xf numFmtId="168" fontId="7" fillId="0" borderId="10" xfId="0" applyNumberFormat="1" applyFont="1" applyFill="1" applyBorder="1" applyAlignment="1">
      <alignment vertical="center"/>
    </xf>
    <xf numFmtId="168" fontId="7" fillId="0" borderId="21" xfId="0" applyNumberFormat="1" applyFont="1" applyFill="1" applyBorder="1" applyAlignment="1">
      <alignment vertical="center" wrapText="1"/>
    </xf>
    <xf numFmtId="168" fontId="7" fillId="0" borderId="16" xfId="0" applyNumberFormat="1" applyFont="1" applyFill="1" applyBorder="1" applyAlignment="1">
      <alignment vertical="center" wrapText="1"/>
    </xf>
    <xf numFmtId="168" fontId="7" fillId="0" borderId="16" xfId="0" applyNumberFormat="1" applyFont="1" applyFill="1" applyBorder="1" applyAlignment="1">
      <alignment vertical="center"/>
    </xf>
    <xf numFmtId="168" fontId="7" fillId="0" borderId="17" xfId="0" applyNumberFormat="1" applyFont="1" applyFill="1" applyBorder="1" applyAlignment="1">
      <alignment vertical="center" wrapText="1"/>
    </xf>
    <xf numFmtId="168" fontId="7" fillId="0" borderId="12" xfId="0" applyNumberFormat="1" applyFont="1" applyFill="1" applyBorder="1" applyAlignment="1">
      <alignment/>
    </xf>
    <xf numFmtId="168" fontId="7" fillId="0" borderId="17" xfId="0" applyNumberFormat="1" applyFont="1" applyFill="1" applyBorder="1" applyAlignment="1">
      <alignment vertical="center"/>
    </xf>
    <xf numFmtId="168" fontId="7" fillId="0" borderId="11" xfId="0" applyNumberFormat="1" applyFont="1" applyFill="1" applyBorder="1" applyAlignment="1">
      <alignment/>
    </xf>
    <xf numFmtId="0" fontId="6" fillId="0" borderId="40" xfId="0" applyNumberFormat="1" applyFont="1" applyFill="1" applyBorder="1" applyAlignment="1">
      <alignment horizontal="left" vertical="center" wrapText="1"/>
    </xf>
    <xf numFmtId="168" fontId="7" fillId="0" borderId="19" xfId="0" applyNumberFormat="1" applyFont="1" applyFill="1" applyBorder="1" applyAlignment="1">
      <alignment vertical="center" wrapText="1"/>
    </xf>
    <xf numFmtId="168" fontId="7" fillId="0" borderId="20" xfId="0" applyNumberFormat="1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/>
    </xf>
    <xf numFmtId="168" fontId="5" fillId="0" borderId="11" xfId="0" applyNumberFormat="1" applyFont="1" applyFill="1" applyBorder="1" applyAlignment="1">
      <alignment/>
    </xf>
    <xf numFmtId="168" fontId="7" fillId="0" borderId="19" xfId="0" applyNumberFormat="1" applyFont="1" applyBorder="1" applyAlignment="1">
      <alignment vertical="center" wrapText="1"/>
    </xf>
    <xf numFmtId="168" fontId="7" fillId="0" borderId="20" xfId="0" applyNumberFormat="1" applyFont="1" applyBorder="1" applyAlignment="1">
      <alignment vertical="center" wrapText="1"/>
    </xf>
    <xf numFmtId="168" fontId="8" fillId="0" borderId="19" xfId="0" applyNumberFormat="1" applyFont="1" applyFill="1" applyBorder="1" applyAlignment="1">
      <alignment vertical="center"/>
    </xf>
    <xf numFmtId="168" fontId="8" fillId="0" borderId="2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168" fontId="6" fillId="22" borderId="11" xfId="0" applyNumberFormat="1" applyFont="1" applyFill="1" applyBorder="1" applyAlignment="1">
      <alignment vertical="center"/>
    </xf>
    <xf numFmtId="168" fontId="5" fillId="22" borderId="11" xfId="0" applyNumberFormat="1" applyFont="1" applyFill="1" applyBorder="1" applyAlignment="1">
      <alignment vertical="center"/>
    </xf>
    <xf numFmtId="168" fontId="5" fillId="22" borderId="12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9" sqref="K9"/>
    </sheetView>
  </sheetViews>
  <sheetFormatPr defaultColWidth="9.00390625" defaultRowHeight="12.75"/>
  <cols>
    <col min="1" max="1" width="55.25390625" style="0" customWidth="1"/>
    <col min="2" max="2" width="25.25390625" style="0" customWidth="1"/>
    <col min="3" max="6" width="25.25390625" style="3" customWidth="1"/>
  </cols>
  <sheetData>
    <row r="1" spans="1:6" s="41" customFormat="1" ht="48" customHeight="1">
      <c r="A1" s="162" t="s">
        <v>32</v>
      </c>
      <c r="B1" s="162"/>
      <c r="C1" s="162"/>
      <c r="D1" s="162"/>
      <c r="E1" s="162"/>
      <c r="F1" s="162"/>
    </row>
    <row r="2" spans="1:6" s="42" customFormat="1" ht="23.25">
      <c r="A2" s="163" t="s">
        <v>39</v>
      </c>
      <c r="B2" s="163"/>
      <c r="C2" s="163"/>
      <c r="D2" s="164"/>
      <c r="E2" s="164"/>
      <c r="F2" s="164"/>
    </row>
    <row r="3" s="3" customFormat="1" ht="24.75" customHeight="1" thickBot="1">
      <c r="F3" s="72" t="s">
        <v>31</v>
      </c>
    </row>
    <row r="4" spans="1:6" s="1" customFormat="1" ht="29.25" customHeight="1" thickBot="1">
      <c r="A4" s="43" t="s">
        <v>14</v>
      </c>
      <c r="B4" s="44"/>
      <c r="C4" s="45" t="s">
        <v>0</v>
      </c>
      <c r="D4" s="45" t="s">
        <v>1</v>
      </c>
      <c r="E4" s="45" t="s">
        <v>2</v>
      </c>
      <c r="F4" s="46" t="s">
        <v>3</v>
      </c>
    </row>
    <row r="5" spans="1:6" s="2" customFormat="1" ht="57" customHeight="1">
      <c r="A5" s="108" t="s">
        <v>57</v>
      </c>
      <c r="B5" s="32">
        <f aca="true" t="shared" si="0" ref="B5:B68">C5+D5+E5+F5</f>
        <v>93089.133</v>
      </c>
      <c r="C5" s="97">
        <f>C6+C7</f>
        <v>40288.729</v>
      </c>
      <c r="D5" s="97">
        <f>D6+D7</f>
        <v>1181.9979999999998</v>
      </c>
      <c r="E5" s="97">
        <f>E6+E7</f>
        <v>23138.769</v>
      </c>
      <c r="F5" s="98">
        <f>F6+F7</f>
        <v>28479.637000000002</v>
      </c>
    </row>
    <row r="6" spans="1:6" s="2" customFormat="1" ht="27" customHeight="1">
      <c r="A6" s="109" t="s">
        <v>13</v>
      </c>
      <c r="B6" s="8">
        <f t="shared" si="0"/>
        <v>76548.933</v>
      </c>
      <c r="C6" s="8">
        <f>40288.729-C7</f>
        <v>40255.356999999996</v>
      </c>
      <c r="D6" s="8">
        <v>1180.658</v>
      </c>
      <c r="E6" s="8">
        <f>23138.769-E7</f>
        <v>22301.592</v>
      </c>
      <c r="F6" s="9">
        <v>12811.326</v>
      </c>
    </row>
    <row r="7" spans="1:6" s="2" customFormat="1" ht="20.25" customHeight="1">
      <c r="A7" s="109" t="s">
        <v>10</v>
      </c>
      <c r="B7" s="8">
        <f t="shared" si="0"/>
        <v>16540.2</v>
      </c>
      <c r="C7" s="20">
        <f>C8+C9</f>
        <v>33.372</v>
      </c>
      <c r="D7" s="20">
        <f>D8+D9</f>
        <v>1.34</v>
      </c>
      <c r="E7" s="20">
        <f>E8+E9</f>
        <v>837.177</v>
      </c>
      <c r="F7" s="21">
        <f>F8+F9</f>
        <v>15668.311000000002</v>
      </c>
    </row>
    <row r="8" spans="1:6" s="2" customFormat="1" ht="21.75" customHeight="1">
      <c r="A8" s="109" t="s">
        <v>11</v>
      </c>
      <c r="B8" s="8">
        <f t="shared" si="0"/>
        <v>4781.437</v>
      </c>
      <c r="C8" s="93">
        <v>12.437</v>
      </c>
      <c r="D8" s="93"/>
      <c r="E8" s="93">
        <v>149.72</v>
      </c>
      <c r="F8" s="94">
        <v>4619.28</v>
      </c>
    </row>
    <row r="9" spans="1:6" s="2" customFormat="1" ht="24.75" customHeight="1">
      <c r="A9" s="109" t="s">
        <v>12</v>
      </c>
      <c r="B9" s="8">
        <f t="shared" si="0"/>
        <v>11758.763</v>
      </c>
      <c r="C9" s="93">
        <v>20.935</v>
      </c>
      <c r="D9" s="93">
        <v>1.34</v>
      </c>
      <c r="E9" s="93">
        <v>687.457</v>
      </c>
      <c r="F9" s="94">
        <v>11049.031</v>
      </c>
    </row>
    <row r="10" spans="1:6" s="2" customFormat="1" ht="47.25" customHeight="1">
      <c r="A10" s="110" t="s">
        <v>58</v>
      </c>
      <c r="B10" s="8">
        <f t="shared" si="0"/>
        <v>7039.399</v>
      </c>
      <c r="C10" s="20">
        <f>C11+C12</f>
        <v>1154.52</v>
      </c>
      <c r="D10" s="20"/>
      <c r="E10" s="20">
        <f>E11+E12</f>
        <v>2542.556</v>
      </c>
      <c r="F10" s="21">
        <f>F11+F12</f>
        <v>3342.3230000000003</v>
      </c>
    </row>
    <row r="11" spans="1:6" s="2" customFormat="1" ht="21.75" customHeight="1">
      <c r="A11" s="109" t="s">
        <v>13</v>
      </c>
      <c r="B11" s="8">
        <f t="shared" si="0"/>
        <v>4558.869</v>
      </c>
      <c r="C11" s="8">
        <v>1071.738</v>
      </c>
      <c r="D11" s="8"/>
      <c r="E11" s="8">
        <v>2111.131</v>
      </c>
      <c r="F11" s="9">
        <v>1376</v>
      </c>
    </row>
    <row r="12" spans="1:6" s="2" customFormat="1" ht="19.5" customHeight="1">
      <c r="A12" s="109" t="s">
        <v>10</v>
      </c>
      <c r="B12" s="8">
        <f t="shared" si="0"/>
        <v>2480.53</v>
      </c>
      <c r="C12" s="20">
        <f>C13+C14</f>
        <v>82.782</v>
      </c>
      <c r="D12" s="8"/>
      <c r="E12" s="20">
        <f>E13+E14</f>
        <v>431.425</v>
      </c>
      <c r="F12" s="21">
        <f>F13+F14</f>
        <v>1966.323</v>
      </c>
    </row>
    <row r="13" spans="1:6" s="2" customFormat="1" ht="17.25" customHeight="1">
      <c r="A13" s="109" t="s">
        <v>11</v>
      </c>
      <c r="B13" s="8">
        <f t="shared" si="0"/>
        <v>1339.633</v>
      </c>
      <c r="C13" s="93"/>
      <c r="D13" s="93"/>
      <c r="E13" s="93">
        <v>69.195</v>
      </c>
      <c r="F13" s="94">
        <v>1270.438</v>
      </c>
    </row>
    <row r="14" spans="1:6" s="2" customFormat="1" ht="17.25" customHeight="1">
      <c r="A14" s="109" t="s">
        <v>12</v>
      </c>
      <c r="B14" s="8">
        <f t="shared" si="0"/>
        <v>1140.897</v>
      </c>
      <c r="C14" s="93">
        <v>82.782</v>
      </c>
      <c r="D14" s="93"/>
      <c r="E14" s="93">
        <v>362.23</v>
      </c>
      <c r="F14" s="94">
        <v>695.885</v>
      </c>
    </row>
    <row r="15" spans="1:6" s="2" customFormat="1" ht="35.25" customHeight="1">
      <c r="A15" s="110" t="s">
        <v>6</v>
      </c>
      <c r="B15" s="8">
        <f t="shared" si="0"/>
        <v>1575.977</v>
      </c>
      <c r="C15" s="20">
        <f>C16+C17</f>
        <v>1575.977</v>
      </c>
      <c r="D15" s="8"/>
      <c r="E15" s="8"/>
      <c r="F15" s="9"/>
    </row>
    <row r="16" spans="1:6" s="2" customFormat="1" ht="19.5" customHeight="1">
      <c r="A16" s="109" t="s">
        <v>13</v>
      </c>
      <c r="B16" s="8">
        <f t="shared" si="0"/>
        <v>1575.48</v>
      </c>
      <c r="C16" s="8">
        <v>1575.48</v>
      </c>
      <c r="D16" s="8"/>
      <c r="E16" s="20"/>
      <c r="F16" s="21"/>
    </row>
    <row r="17" spans="1:6" s="2" customFormat="1" ht="18" customHeight="1">
      <c r="A17" s="109" t="s">
        <v>10</v>
      </c>
      <c r="B17" s="8">
        <f t="shared" si="0"/>
        <v>0.497</v>
      </c>
      <c r="C17" s="8">
        <f>C18+C19</f>
        <v>0.497</v>
      </c>
      <c r="D17" s="8"/>
      <c r="E17" s="20"/>
      <c r="F17" s="21"/>
    </row>
    <row r="18" spans="1:6" s="2" customFormat="1" ht="19.5" customHeight="1">
      <c r="A18" s="109" t="s">
        <v>11</v>
      </c>
      <c r="B18" s="8">
        <f t="shared" si="0"/>
        <v>0.497</v>
      </c>
      <c r="C18" s="93">
        <v>0.497</v>
      </c>
      <c r="D18" s="93"/>
      <c r="E18" s="93"/>
      <c r="F18" s="94"/>
    </row>
    <row r="19" spans="1:6" s="2" customFormat="1" ht="19.5" customHeight="1">
      <c r="A19" s="109" t="s">
        <v>12</v>
      </c>
      <c r="B19" s="8">
        <f t="shared" si="0"/>
        <v>0</v>
      </c>
      <c r="C19" s="93"/>
      <c r="D19" s="93"/>
      <c r="E19" s="93"/>
      <c r="F19" s="94"/>
    </row>
    <row r="20" spans="1:6" s="2" customFormat="1" ht="42.75" customHeight="1">
      <c r="A20" s="110" t="s">
        <v>59</v>
      </c>
      <c r="B20" s="8">
        <f t="shared" si="0"/>
        <v>955.269</v>
      </c>
      <c r="C20" s="20">
        <f>C21+C22</f>
        <v>9.432</v>
      </c>
      <c r="D20" s="20">
        <f>D21+D22</f>
        <v>847.864</v>
      </c>
      <c r="E20" s="20">
        <f>E21+E22</f>
        <v>9.395</v>
      </c>
      <c r="F20" s="21">
        <f>F21+F22</f>
        <v>88.578</v>
      </c>
    </row>
    <row r="21" spans="1:6" s="2" customFormat="1" ht="21.75" customHeight="1">
      <c r="A21" s="109" t="s">
        <v>13</v>
      </c>
      <c r="B21" s="8">
        <f t="shared" si="0"/>
        <v>932.909</v>
      </c>
      <c r="C21" s="8">
        <v>9.432</v>
      </c>
      <c r="D21" s="8">
        <v>847.864</v>
      </c>
      <c r="E21" s="8">
        <v>9.395</v>
      </c>
      <c r="F21" s="9">
        <v>66.218</v>
      </c>
    </row>
    <row r="22" spans="1:6" s="2" customFormat="1" ht="21" customHeight="1">
      <c r="A22" s="109" t="s">
        <v>10</v>
      </c>
      <c r="B22" s="8">
        <f t="shared" si="0"/>
        <v>22.36</v>
      </c>
      <c r="C22" s="8"/>
      <c r="D22" s="8"/>
      <c r="E22" s="20">
        <f>E23+E24</f>
        <v>0</v>
      </c>
      <c r="F22" s="21">
        <f>F23+F24</f>
        <v>22.36</v>
      </c>
    </row>
    <row r="23" spans="1:6" s="2" customFormat="1" ht="21.75" customHeight="1">
      <c r="A23" s="109" t="s">
        <v>11</v>
      </c>
      <c r="B23" s="8">
        <f t="shared" si="0"/>
        <v>22.36</v>
      </c>
      <c r="C23" s="93"/>
      <c r="D23" s="93"/>
      <c r="E23" s="93"/>
      <c r="F23" s="94">
        <v>22.36</v>
      </c>
    </row>
    <row r="24" spans="1:6" s="2" customFormat="1" ht="21" customHeight="1">
      <c r="A24" s="109" t="s">
        <v>12</v>
      </c>
      <c r="B24" s="8">
        <f t="shared" si="0"/>
        <v>0</v>
      </c>
      <c r="C24" s="93"/>
      <c r="D24" s="93"/>
      <c r="E24" s="93"/>
      <c r="F24" s="94"/>
    </row>
    <row r="25" spans="1:6" s="2" customFormat="1" ht="39" customHeight="1">
      <c r="A25" s="110" t="s">
        <v>7</v>
      </c>
      <c r="B25" s="8">
        <f t="shared" si="0"/>
        <v>14241.380000000001</v>
      </c>
      <c r="C25" s="20">
        <f>C26+C27</f>
        <v>7530.592</v>
      </c>
      <c r="D25" s="20"/>
      <c r="E25" s="20">
        <f>E26+E27</f>
        <v>2444.864</v>
      </c>
      <c r="F25" s="21">
        <f>F26+F27</f>
        <v>4265.924</v>
      </c>
    </row>
    <row r="26" spans="1:6" s="2" customFormat="1" ht="19.5" customHeight="1">
      <c r="A26" s="109" t="s">
        <v>13</v>
      </c>
      <c r="B26" s="8">
        <f t="shared" si="0"/>
        <v>11490.041000000001</v>
      </c>
      <c r="C26" s="8">
        <v>7530.592</v>
      </c>
      <c r="D26" s="8"/>
      <c r="E26" s="20">
        <v>2373.071</v>
      </c>
      <c r="F26" s="21">
        <v>1586.378</v>
      </c>
    </row>
    <row r="27" spans="1:6" s="2" customFormat="1" ht="20.25" customHeight="1">
      <c r="A27" s="109" t="s">
        <v>10</v>
      </c>
      <c r="B27" s="8">
        <f t="shared" si="0"/>
        <v>2751.3390000000004</v>
      </c>
      <c r="C27" s="8"/>
      <c r="D27" s="8"/>
      <c r="E27" s="20">
        <f>E28+E29</f>
        <v>71.793</v>
      </c>
      <c r="F27" s="21">
        <f>F28+F29</f>
        <v>2679.5460000000003</v>
      </c>
    </row>
    <row r="28" spans="1:6" s="2" customFormat="1" ht="20.25" customHeight="1">
      <c r="A28" s="109" t="s">
        <v>11</v>
      </c>
      <c r="B28" s="8">
        <f t="shared" si="0"/>
        <v>2716.9950000000003</v>
      </c>
      <c r="C28" s="93"/>
      <c r="D28" s="93"/>
      <c r="E28" s="93">
        <v>71.793</v>
      </c>
      <c r="F28" s="94">
        <f>2512.279+132.923</f>
        <v>2645.202</v>
      </c>
    </row>
    <row r="29" spans="1:6" s="2" customFormat="1" ht="20.25" customHeight="1">
      <c r="A29" s="109" t="s">
        <v>12</v>
      </c>
      <c r="B29" s="8">
        <f t="shared" si="0"/>
        <v>34.344</v>
      </c>
      <c r="C29" s="93"/>
      <c r="D29" s="93"/>
      <c r="E29" s="93"/>
      <c r="F29" s="94">
        <v>34.344</v>
      </c>
    </row>
    <row r="30" spans="1:6" s="2" customFormat="1" ht="39.75" customHeight="1">
      <c r="A30" s="110" t="s">
        <v>60</v>
      </c>
      <c r="B30" s="8">
        <f t="shared" si="0"/>
        <v>117.318</v>
      </c>
      <c r="C30" s="20"/>
      <c r="D30" s="20"/>
      <c r="E30" s="20">
        <f>E31+E32</f>
        <v>82.402</v>
      </c>
      <c r="F30" s="21">
        <f>F31+F32</f>
        <v>34.916</v>
      </c>
    </row>
    <row r="31" spans="1:6" s="2" customFormat="1" ht="22.5" customHeight="1">
      <c r="A31" s="109" t="s">
        <v>13</v>
      </c>
      <c r="B31" s="8">
        <f t="shared" si="0"/>
        <v>97.313</v>
      </c>
      <c r="C31" s="8"/>
      <c r="D31" s="8"/>
      <c r="E31" s="20">
        <v>82.402</v>
      </c>
      <c r="F31" s="21">
        <v>14.911</v>
      </c>
    </row>
    <row r="32" spans="1:6" s="2" customFormat="1" ht="24.75" customHeight="1">
      <c r="A32" s="109" t="s">
        <v>10</v>
      </c>
      <c r="B32" s="8">
        <f t="shared" si="0"/>
        <v>20.005</v>
      </c>
      <c r="C32" s="8"/>
      <c r="D32" s="8"/>
      <c r="E32" s="20">
        <f>E33+E34</f>
        <v>0</v>
      </c>
      <c r="F32" s="21">
        <f>F33+F34</f>
        <v>20.005</v>
      </c>
    </row>
    <row r="33" spans="1:6" s="2" customFormat="1" ht="18" customHeight="1">
      <c r="A33" s="109" t="s">
        <v>11</v>
      </c>
      <c r="B33" s="8">
        <f t="shared" si="0"/>
        <v>14.341</v>
      </c>
      <c r="C33" s="93"/>
      <c r="D33" s="93"/>
      <c r="E33" s="93"/>
      <c r="F33" s="94">
        <v>14.341</v>
      </c>
    </row>
    <row r="34" spans="1:6" s="2" customFormat="1" ht="18" customHeight="1">
      <c r="A34" s="109" t="s">
        <v>12</v>
      </c>
      <c r="B34" s="8">
        <f t="shared" si="0"/>
        <v>5.664</v>
      </c>
      <c r="C34" s="93"/>
      <c r="D34" s="93"/>
      <c r="E34" s="93"/>
      <c r="F34" s="94">
        <v>5.664</v>
      </c>
    </row>
    <row r="35" spans="1:6" s="2" customFormat="1" ht="25.5" customHeight="1">
      <c r="A35" s="49" t="s">
        <v>61</v>
      </c>
      <c r="B35" s="8">
        <f t="shared" si="0"/>
        <v>182.305</v>
      </c>
      <c r="C35" s="20">
        <f>C36+C37</f>
        <v>0</v>
      </c>
      <c r="D35" s="95"/>
      <c r="E35" s="20">
        <f>E36+E37</f>
        <v>0</v>
      </c>
      <c r="F35" s="21">
        <f>F36+F37</f>
        <v>182.305</v>
      </c>
    </row>
    <row r="36" spans="1:6" s="2" customFormat="1" ht="23.25" customHeight="1">
      <c r="A36" s="109" t="s">
        <v>13</v>
      </c>
      <c r="B36" s="8">
        <f t="shared" si="0"/>
        <v>168.731</v>
      </c>
      <c r="C36" s="8"/>
      <c r="D36" s="8"/>
      <c r="E36" s="8"/>
      <c r="F36" s="9">
        <v>168.731</v>
      </c>
    </row>
    <row r="37" spans="1:6" s="2" customFormat="1" ht="23.25" customHeight="1">
      <c r="A37" s="109" t="s">
        <v>10</v>
      </c>
      <c r="B37" s="8">
        <f t="shared" si="0"/>
        <v>13.574</v>
      </c>
      <c r="C37" s="20">
        <f>C38+C39</f>
        <v>0</v>
      </c>
      <c r="D37" s="8"/>
      <c r="E37" s="20">
        <f>E38+E39</f>
        <v>0</v>
      </c>
      <c r="F37" s="21">
        <f>F38+F39</f>
        <v>13.574</v>
      </c>
    </row>
    <row r="38" spans="1:6" s="2" customFormat="1" ht="23.25" customHeight="1">
      <c r="A38" s="109" t="s">
        <v>11</v>
      </c>
      <c r="B38" s="8">
        <f t="shared" si="0"/>
        <v>0</v>
      </c>
      <c r="C38" s="95"/>
      <c r="D38" s="95"/>
      <c r="E38" s="95"/>
      <c r="F38" s="12"/>
    </row>
    <row r="39" spans="1:6" s="2" customFormat="1" ht="23.25" customHeight="1">
      <c r="A39" s="109" t="s">
        <v>12</v>
      </c>
      <c r="B39" s="8">
        <f t="shared" si="0"/>
        <v>13.574</v>
      </c>
      <c r="C39" s="95"/>
      <c r="D39" s="95"/>
      <c r="E39" s="95"/>
      <c r="F39" s="12">
        <v>13.574</v>
      </c>
    </row>
    <row r="40" spans="1:6" s="2" customFormat="1" ht="27" customHeight="1">
      <c r="A40" s="110" t="s">
        <v>26</v>
      </c>
      <c r="B40" s="8">
        <f t="shared" si="0"/>
        <v>87.661</v>
      </c>
      <c r="C40" s="95">
        <f>C41+C42</f>
        <v>1.807</v>
      </c>
      <c r="D40" s="95"/>
      <c r="E40" s="95">
        <f>E41+E42</f>
        <v>85.854</v>
      </c>
      <c r="F40" s="21"/>
    </row>
    <row r="41" spans="1:6" s="2" customFormat="1" ht="19.5" customHeight="1">
      <c r="A41" s="109" t="s">
        <v>13</v>
      </c>
      <c r="B41" s="8">
        <f t="shared" si="0"/>
        <v>87.661</v>
      </c>
      <c r="C41" s="8">
        <v>1.807</v>
      </c>
      <c r="D41" s="8"/>
      <c r="E41" s="8">
        <v>85.854</v>
      </c>
      <c r="F41" s="9"/>
    </row>
    <row r="42" spans="1:6" s="2" customFormat="1" ht="19.5" customHeight="1">
      <c r="A42" s="109" t="s">
        <v>10</v>
      </c>
      <c r="B42" s="8">
        <f t="shared" si="0"/>
        <v>0</v>
      </c>
      <c r="C42" s="20">
        <f>C43+C44</f>
        <v>0</v>
      </c>
      <c r="D42" s="8"/>
      <c r="E42" s="20">
        <f>E43+E44</f>
        <v>0</v>
      </c>
      <c r="F42" s="21"/>
    </row>
    <row r="43" spans="1:6" s="2" customFormat="1" ht="19.5" customHeight="1">
      <c r="A43" s="109" t="s">
        <v>11</v>
      </c>
      <c r="B43" s="8">
        <f t="shared" si="0"/>
        <v>0</v>
      </c>
      <c r="C43" s="95"/>
      <c r="D43" s="95"/>
      <c r="E43" s="95"/>
      <c r="F43" s="12"/>
    </row>
    <row r="44" spans="1:6" s="2" customFormat="1" ht="19.5" customHeight="1">
      <c r="A44" s="109" t="s">
        <v>12</v>
      </c>
      <c r="B44" s="8">
        <f t="shared" si="0"/>
        <v>0</v>
      </c>
      <c r="C44" s="95"/>
      <c r="D44" s="95"/>
      <c r="E44" s="95"/>
      <c r="F44" s="12"/>
    </row>
    <row r="45" spans="1:6" s="2" customFormat="1" ht="24.75" customHeight="1">
      <c r="A45" s="111" t="s">
        <v>29</v>
      </c>
      <c r="B45" s="8">
        <f t="shared" si="0"/>
        <v>154.64100000000002</v>
      </c>
      <c r="C45" s="10"/>
      <c r="D45" s="8"/>
      <c r="E45" s="8">
        <f>E46+E47</f>
        <v>71.334</v>
      </c>
      <c r="F45" s="9">
        <f>F46+F47</f>
        <v>83.307</v>
      </c>
    </row>
    <row r="46" spans="1:6" s="2" customFormat="1" ht="24.75" customHeight="1">
      <c r="A46" s="109" t="s">
        <v>13</v>
      </c>
      <c r="B46" s="8">
        <f t="shared" si="0"/>
        <v>154.64100000000002</v>
      </c>
      <c r="C46" s="8"/>
      <c r="D46" s="8"/>
      <c r="E46" s="20">
        <v>71.334</v>
      </c>
      <c r="F46" s="21">
        <v>83.307</v>
      </c>
    </row>
    <row r="47" spans="1:6" s="2" customFormat="1" ht="24.75" customHeight="1">
      <c r="A47" s="109" t="s">
        <v>10</v>
      </c>
      <c r="B47" s="8">
        <f t="shared" si="0"/>
        <v>0</v>
      </c>
      <c r="C47" s="8"/>
      <c r="D47" s="8"/>
      <c r="E47" s="20">
        <f>E48+E49</f>
        <v>0</v>
      </c>
      <c r="F47" s="21">
        <f>F48+F49</f>
        <v>0</v>
      </c>
    </row>
    <row r="48" spans="1:6" s="2" customFormat="1" ht="24.75" customHeight="1">
      <c r="A48" s="109" t="s">
        <v>11</v>
      </c>
      <c r="B48" s="8">
        <f t="shared" si="0"/>
        <v>0</v>
      </c>
      <c r="C48" s="10"/>
      <c r="D48" s="8"/>
      <c r="E48" s="10"/>
      <c r="F48" s="17"/>
    </row>
    <row r="49" spans="1:6" s="2" customFormat="1" ht="24.75" customHeight="1">
      <c r="A49" s="109" t="s">
        <v>12</v>
      </c>
      <c r="B49" s="8">
        <f t="shared" si="0"/>
        <v>0</v>
      </c>
      <c r="C49" s="10"/>
      <c r="D49" s="8"/>
      <c r="E49" s="10"/>
      <c r="F49" s="17"/>
    </row>
    <row r="50" spans="1:6" s="2" customFormat="1" ht="24.75" customHeight="1">
      <c r="A50" s="111" t="s">
        <v>4</v>
      </c>
      <c r="B50" s="8">
        <f t="shared" si="0"/>
        <v>709.191</v>
      </c>
      <c r="C50" s="20">
        <f>C51+C52</f>
        <v>709.191</v>
      </c>
      <c r="D50" s="8"/>
      <c r="E50" s="8"/>
      <c r="F50" s="9"/>
    </row>
    <row r="51" spans="1:6" s="2" customFormat="1" ht="24.75" customHeight="1">
      <c r="A51" s="109" t="s">
        <v>13</v>
      </c>
      <c r="B51" s="8">
        <f t="shared" si="0"/>
        <v>709.191</v>
      </c>
      <c r="C51" s="20">
        <v>709.191</v>
      </c>
      <c r="D51" s="8"/>
      <c r="E51" s="20">
        <f>E50-E52</f>
        <v>0</v>
      </c>
      <c r="F51" s="21">
        <f>F50-F52</f>
        <v>0</v>
      </c>
    </row>
    <row r="52" spans="1:6" s="2" customFormat="1" ht="24.75" customHeight="1">
      <c r="A52" s="109" t="s">
        <v>10</v>
      </c>
      <c r="B52" s="8">
        <f t="shared" si="0"/>
        <v>0</v>
      </c>
      <c r="C52" s="20">
        <f>C53+C54</f>
        <v>0</v>
      </c>
      <c r="D52" s="8"/>
      <c r="E52" s="20">
        <f>E53+E54</f>
        <v>0</v>
      </c>
      <c r="F52" s="21">
        <f>F53+F54</f>
        <v>0</v>
      </c>
    </row>
    <row r="53" spans="1:6" s="2" customFormat="1" ht="24.75" customHeight="1">
      <c r="A53" s="109" t="s">
        <v>11</v>
      </c>
      <c r="B53" s="8">
        <f t="shared" si="0"/>
        <v>0</v>
      </c>
      <c r="C53" s="93"/>
      <c r="D53" s="8"/>
      <c r="E53" s="8"/>
      <c r="F53" s="9"/>
    </row>
    <row r="54" spans="1:6" s="2" customFormat="1" ht="24.75" customHeight="1">
      <c r="A54" s="109" t="s">
        <v>12</v>
      </c>
      <c r="B54" s="8">
        <f t="shared" si="0"/>
        <v>0</v>
      </c>
      <c r="C54" s="93"/>
      <c r="D54" s="8"/>
      <c r="E54" s="8"/>
      <c r="F54" s="9"/>
    </row>
    <row r="55" spans="1:6" s="2" customFormat="1" ht="50.25" customHeight="1">
      <c r="A55" s="110" t="s">
        <v>62</v>
      </c>
      <c r="B55" s="8">
        <f t="shared" si="0"/>
        <v>1043.288</v>
      </c>
      <c r="C55" s="93"/>
      <c r="D55" s="8"/>
      <c r="E55" s="8">
        <f>E56+E57</f>
        <v>536.552</v>
      </c>
      <c r="F55" s="9">
        <f>F56+F57</f>
        <v>506.736</v>
      </c>
    </row>
    <row r="56" spans="1:6" s="2" customFormat="1" ht="26.25" customHeight="1">
      <c r="A56" s="109" t="s">
        <v>13</v>
      </c>
      <c r="B56" s="8">
        <f t="shared" si="0"/>
        <v>799.272</v>
      </c>
      <c r="C56" s="112"/>
      <c r="D56" s="113"/>
      <c r="E56" s="113">
        <v>536.552</v>
      </c>
      <c r="F56" s="114">
        <v>262.72</v>
      </c>
    </row>
    <row r="57" spans="1:6" s="2" customFormat="1" ht="26.25" customHeight="1">
      <c r="A57" s="109" t="s">
        <v>10</v>
      </c>
      <c r="B57" s="8">
        <f t="shared" si="0"/>
        <v>244.016</v>
      </c>
      <c r="C57" s="93"/>
      <c r="D57" s="8"/>
      <c r="E57" s="8">
        <f>E59+E58</f>
        <v>0</v>
      </c>
      <c r="F57" s="9">
        <f>F59+F58</f>
        <v>244.016</v>
      </c>
    </row>
    <row r="58" spans="1:6" s="2" customFormat="1" ht="26.25" customHeight="1">
      <c r="A58" s="109" t="s">
        <v>11</v>
      </c>
      <c r="B58" s="8">
        <f t="shared" si="0"/>
        <v>215.884</v>
      </c>
      <c r="C58" s="93"/>
      <c r="D58" s="8"/>
      <c r="E58" s="10"/>
      <c r="F58" s="17">
        <v>215.884</v>
      </c>
    </row>
    <row r="59" spans="1:6" s="2" customFormat="1" ht="26.25" customHeight="1">
      <c r="A59" s="109" t="s">
        <v>12</v>
      </c>
      <c r="B59" s="8">
        <f t="shared" si="0"/>
        <v>28.132</v>
      </c>
      <c r="C59" s="93"/>
      <c r="D59" s="8"/>
      <c r="E59" s="10"/>
      <c r="F59" s="17">
        <v>28.132</v>
      </c>
    </row>
    <row r="60" spans="1:6" s="2" customFormat="1" ht="24.75" customHeight="1">
      <c r="A60" s="110" t="s">
        <v>28</v>
      </c>
      <c r="B60" s="8">
        <f t="shared" si="0"/>
        <v>1598.09</v>
      </c>
      <c r="C60" s="8">
        <f>C61+C62</f>
        <v>1579.49</v>
      </c>
      <c r="D60" s="8"/>
      <c r="E60" s="8">
        <f>E61+E62</f>
        <v>0</v>
      </c>
      <c r="F60" s="9">
        <f>F61+F62</f>
        <v>18.6</v>
      </c>
    </row>
    <row r="61" spans="1:6" s="2" customFormat="1" ht="21.75" customHeight="1">
      <c r="A61" s="109" t="s">
        <v>13</v>
      </c>
      <c r="B61" s="8">
        <f t="shared" si="0"/>
        <v>1598.09</v>
      </c>
      <c r="C61" s="113">
        <v>1579.49</v>
      </c>
      <c r="D61" s="113"/>
      <c r="E61" s="113"/>
      <c r="F61" s="114">
        <v>18.6</v>
      </c>
    </row>
    <row r="62" spans="1:6" s="2" customFormat="1" ht="16.5" customHeight="1">
      <c r="A62" s="109" t="s">
        <v>10</v>
      </c>
      <c r="B62" s="8">
        <f t="shared" si="0"/>
        <v>0</v>
      </c>
      <c r="C62" s="93"/>
      <c r="D62" s="8"/>
      <c r="E62" s="8">
        <f>E64+E63</f>
        <v>0</v>
      </c>
      <c r="F62" s="9">
        <f>F64+F63</f>
        <v>0</v>
      </c>
    </row>
    <row r="63" spans="1:6" s="2" customFormat="1" ht="18" customHeight="1">
      <c r="A63" s="109" t="s">
        <v>11</v>
      </c>
      <c r="B63" s="8">
        <f t="shared" si="0"/>
        <v>0</v>
      </c>
      <c r="C63" s="93"/>
      <c r="D63" s="8"/>
      <c r="E63" s="10"/>
      <c r="F63" s="17"/>
    </row>
    <row r="64" spans="1:6" s="2" customFormat="1" ht="18" customHeight="1">
      <c r="A64" s="109" t="s">
        <v>12</v>
      </c>
      <c r="B64" s="8">
        <f t="shared" si="0"/>
        <v>0</v>
      </c>
      <c r="C64" s="93"/>
      <c r="D64" s="8"/>
      <c r="E64" s="10"/>
      <c r="F64" s="17"/>
    </row>
    <row r="65" spans="1:6" s="2" customFormat="1" ht="24.75" customHeight="1">
      <c r="A65" s="110" t="s">
        <v>63</v>
      </c>
      <c r="B65" s="8">
        <f t="shared" si="0"/>
        <v>0</v>
      </c>
      <c r="C65" s="8">
        <f>C66+C67</f>
        <v>0</v>
      </c>
      <c r="D65" s="8"/>
      <c r="E65" s="8">
        <f>E66+E67</f>
        <v>0</v>
      </c>
      <c r="F65" s="9">
        <f>F66+F67</f>
        <v>0</v>
      </c>
    </row>
    <row r="66" spans="1:6" s="2" customFormat="1" ht="21.75" customHeight="1">
      <c r="A66" s="109" t="s">
        <v>13</v>
      </c>
      <c r="B66" s="8">
        <f t="shared" si="0"/>
        <v>0</v>
      </c>
      <c r="C66" s="113"/>
      <c r="D66" s="113"/>
      <c r="E66" s="113"/>
      <c r="F66" s="114"/>
    </row>
    <row r="67" spans="1:6" s="2" customFormat="1" ht="18" customHeight="1">
      <c r="A67" s="109" t="s">
        <v>10</v>
      </c>
      <c r="B67" s="8">
        <f t="shared" si="0"/>
        <v>0</v>
      </c>
      <c r="C67" s="93"/>
      <c r="D67" s="8"/>
      <c r="E67" s="8">
        <f>E69+E68</f>
        <v>0</v>
      </c>
      <c r="F67" s="9">
        <f>F69+F68</f>
        <v>0</v>
      </c>
    </row>
    <row r="68" spans="1:6" s="2" customFormat="1" ht="19.5" customHeight="1">
      <c r="A68" s="109" t="s">
        <v>11</v>
      </c>
      <c r="B68" s="8">
        <f t="shared" si="0"/>
        <v>0</v>
      </c>
      <c r="C68" s="93"/>
      <c r="D68" s="8"/>
      <c r="E68" s="10"/>
      <c r="F68" s="17"/>
    </row>
    <row r="69" spans="1:6" s="2" customFormat="1" ht="19.5" customHeight="1">
      <c r="A69" s="109" t="s">
        <v>12</v>
      </c>
      <c r="B69" s="8">
        <f aca="true" t="shared" si="1" ref="B69:B100">C69+D69+E69+F69</f>
        <v>0</v>
      </c>
      <c r="C69" s="93"/>
      <c r="D69" s="8"/>
      <c r="E69" s="10"/>
      <c r="F69" s="17"/>
    </row>
    <row r="70" spans="1:7" s="57" customFormat="1" ht="24.75" customHeight="1">
      <c r="A70" s="110" t="s">
        <v>25</v>
      </c>
      <c r="B70" s="8">
        <f t="shared" si="1"/>
        <v>75.402</v>
      </c>
      <c r="C70" s="93"/>
      <c r="D70" s="8"/>
      <c r="E70" s="8">
        <f>E71+E72</f>
        <v>0</v>
      </c>
      <c r="F70" s="9">
        <f>F71+F72</f>
        <v>75.402</v>
      </c>
      <c r="G70" s="56"/>
    </row>
    <row r="71" spans="1:6" s="57" customFormat="1" ht="18.75" customHeight="1">
      <c r="A71" s="109" t="s">
        <v>13</v>
      </c>
      <c r="B71" s="8">
        <f t="shared" si="1"/>
        <v>19.964</v>
      </c>
      <c r="C71" s="93"/>
      <c r="D71" s="8"/>
      <c r="E71" s="8"/>
      <c r="F71" s="115">
        <v>19.964</v>
      </c>
    </row>
    <row r="72" spans="1:7" s="57" customFormat="1" ht="26.25" customHeight="1">
      <c r="A72" s="109" t="s">
        <v>10</v>
      </c>
      <c r="B72" s="8">
        <f t="shared" si="1"/>
        <v>55.438</v>
      </c>
      <c r="C72" s="93"/>
      <c r="D72" s="8"/>
      <c r="E72" s="8">
        <f>E74+E73</f>
        <v>0</v>
      </c>
      <c r="F72" s="9">
        <f>F74+F73</f>
        <v>55.438</v>
      </c>
      <c r="G72" s="56"/>
    </row>
    <row r="73" spans="1:7" s="61" customFormat="1" ht="30" customHeight="1">
      <c r="A73" s="109" t="s">
        <v>11</v>
      </c>
      <c r="B73" s="8">
        <f t="shared" si="1"/>
        <v>55.438</v>
      </c>
      <c r="C73" s="93"/>
      <c r="D73" s="8"/>
      <c r="E73" s="10"/>
      <c r="F73" s="17">
        <v>55.438</v>
      </c>
      <c r="G73" s="60"/>
    </row>
    <row r="74" spans="1:7" s="57" customFormat="1" ht="26.25" customHeight="1">
      <c r="A74" s="109" t="s">
        <v>12</v>
      </c>
      <c r="B74" s="8">
        <f t="shared" si="1"/>
        <v>0</v>
      </c>
      <c r="C74" s="93"/>
      <c r="D74" s="8"/>
      <c r="E74" s="10"/>
      <c r="F74" s="17"/>
      <c r="G74" s="56"/>
    </row>
    <row r="75" spans="1:6" s="6" customFormat="1" ht="36" customHeight="1">
      <c r="A75" s="110" t="s">
        <v>64</v>
      </c>
      <c r="B75" s="8">
        <f t="shared" si="1"/>
        <v>277.35900000000004</v>
      </c>
      <c r="C75" s="93"/>
      <c r="D75" s="8"/>
      <c r="E75" s="8">
        <f>E76+E77</f>
        <v>14.153</v>
      </c>
      <c r="F75" s="9">
        <f>F76+F77</f>
        <v>263.206</v>
      </c>
    </row>
    <row r="76" spans="1:6" s="38" customFormat="1" ht="36" customHeight="1">
      <c r="A76" s="109" t="s">
        <v>13</v>
      </c>
      <c r="B76" s="8">
        <f t="shared" si="1"/>
        <v>71.32000000000001</v>
      </c>
      <c r="C76" s="93"/>
      <c r="D76" s="8"/>
      <c r="E76" s="8">
        <v>14.153</v>
      </c>
      <c r="F76" s="115">
        <v>57.167</v>
      </c>
    </row>
    <row r="77" spans="1:6" s="38" customFormat="1" ht="39" customHeight="1">
      <c r="A77" s="109" t="s">
        <v>10</v>
      </c>
      <c r="B77" s="8">
        <f t="shared" si="1"/>
        <v>206.039</v>
      </c>
      <c r="C77" s="93"/>
      <c r="D77" s="8"/>
      <c r="E77" s="8">
        <f>E79+E78</f>
        <v>0</v>
      </c>
      <c r="F77" s="9">
        <f>F79+F78</f>
        <v>206.039</v>
      </c>
    </row>
    <row r="78" spans="1:6" s="6" customFormat="1" ht="25.5" customHeight="1">
      <c r="A78" s="109" t="s">
        <v>11</v>
      </c>
      <c r="B78" s="8">
        <f t="shared" si="1"/>
        <v>0</v>
      </c>
      <c r="C78" s="93"/>
      <c r="D78" s="8"/>
      <c r="E78" s="8"/>
      <c r="F78" s="9"/>
    </row>
    <row r="79" spans="1:6" s="3" customFormat="1" ht="28.5" customHeight="1">
      <c r="A79" s="109" t="s">
        <v>12</v>
      </c>
      <c r="B79" s="8">
        <f t="shared" si="1"/>
        <v>206.039</v>
      </c>
      <c r="C79" s="93"/>
      <c r="D79" s="8"/>
      <c r="E79" s="8"/>
      <c r="F79" s="9">
        <v>206.039</v>
      </c>
    </row>
    <row r="80" spans="1:6" ht="18">
      <c r="A80" s="110" t="s">
        <v>8</v>
      </c>
      <c r="B80" s="8">
        <f t="shared" si="1"/>
        <v>1274.759</v>
      </c>
      <c r="C80" s="20">
        <f>C81+C82</f>
        <v>0</v>
      </c>
      <c r="D80" s="8"/>
      <c r="E80" s="20">
        <f>E81+E82</f>
        <v>586.201</v>
      </c>
      <c r="F80" s="21">
        <f>F81+F82</f>
        <v>688.558</v>
      </c>
    </row>
    <row r="81" spans="1:6" ht="18.75">
      <c r="A81" s="109" t="s">
        <v>13</v>
      </c>
      <c r="B81" s="8">
        <f t="shared" si="1"/>
        <v>663.373</v>
      </c>
      <c r="C81" s="8"/>
      <c r="D81" s="8"/>
      <c r="E81" s="20">
        <v>444.995</v>
      </c>
      <c r="F81" s="21">
        <v>218.378</v>
      </c>
    </row>
    <row r="82" spans="1:6" ht="18.75">
      <c r="A82" s="109" t="s">
        <v>10</v>
      </c>
      <c r="B82" s="8">
        <f t="shared" si="1"/>
        <v>611.386</v>
      </c>
      <c r="C82" s="8"/>
      <c r="D82" s="8"/>
      <c r="E82" s="20">
        <f>E83+E84</f>
        <v>141.206</v>
      </c>
      <c r="F82" s="21">
        <f>F83+F84</f>
        <v>470.17999999999995</v>
      </c>
    </row>
    <row r="83" spans="1:6" ht="18.75">
      <c r="A83" s="109" t="s">
        <v>11</v>
      </c>
      <c r="B83" s="8">
        <f t="shared" si="1"/>
        <v>507.73799999999994</v>
      </c>
      <c r="C83" s="8"/>
      <c r="D83" s="8"/>
      <c r="E83" s="93">
        <v>139.951</v>
      </c>
      <c r="F83" s="94">
        <f>355.027+12.76</f>
        <v>367.787</v>
      </c>
    </row>
    <row r="84" spans="1:6" ht="18.75">
      <c r="A84" s="109" t="s">
        <v>12</v>
      </c>
      <c r="B84" s="8">
        <f t="shared" si="1"/>
        <v>103.648</v>
      </c>
      <c r="C84" s="8"/>
      <c r="D84" s="8"/>
      <c r="E84" s="93">
        <v>1.255</v>
      </c>
      <c r="F84" s="94">
        <v>102.393</v>
      </c>
    </row>
    <row r="85" spans="1:6" ht="18">
      <c r="A85" s="110" t="s">
        <v>5</v>
      </c>
      <c r="B85" s="8">
        <f t="shared" si="1"/>
        <v>3392.818</v>
      </c>
      <c r="C85" s="20">
        <f>C86+C87</f>
        <v>464.644</v>
      </c>
      <c r="D85" s="8"/>
      <c r="E85" s="20">
        <f>E86+E87</f>
        <v>1874.93</v>
      </c>
      <c r="F85" s="21">
        <f>F86+F87</f>
        <v>1053.2440000000001</v>
      </c>
    </row>
    <row r="86" spans="1:6" ht="18.75">
      <c r="A86" s="109" t="s">
        <v>13</v>
      </c>
      <c r="B86" s="8">
        <f t="shared" si="1"/>
        <v>2232.5460000000003</v>
      </c>
      <c r="C86" s="20">
        <v>464.644</v>
      </c>
      <c r="D86" s="8"/>
      <c r="E86" s="20">
        <v>1281.767</v>
      </c>
      <c r="F86" s="21">
        <v>486.135</v>
      </c>
    </row>
    <row r="87" spans="1:6" ht="18.75">
      <c r="A87" s="109" t="s">
        <v>10</v>
      </c>
      <c r="B87" s="8">
        <f t="shared" si="1"/>
        <v>1160.272</v>
      </c>
      <c r="C87" s="8"/>
      <c r="D87" s="8"/>
      <c r="E87" s="20">
        <f>E88+E89</f>
        <v>593.163</v>
      </c>
      <c r="F87" s="21">
        <f>F88+F89</f>
        <v>567.109</v>
      </c>
    </row>
    <row r="88" spans="1:6" ht="18.75">
      <c r="A88" s="109" t="s">
        <v>11</v>
      </c>
      <c r="B88" s="8">
        <f t="shared" si="1"/>
        <v>1151.392</v>
      </c>
      <c r="C88" s="93"/>
      <c r="D88" s="93"/>
      <c r="E88" s="93">
        <f>562.115+22.168</f>
        <v>584.283</v>
      </c>
      <c r="F88" s="94">
        <f>496.546+70.563</f>
        <v>567.109</v>
      </c>
    </row>
    <row r="89" spans="1:6" ht="18.75">
      <c r="A89" s="109" t="s">
        <v>12</v>
      </c>
      <c r="B89" s="8">
        <f t="shared" si="1"/>
        <v>8.88</v>
      </c>
      <c r="C89" s="93"/>
      <c r="D89" s="93"/>
      <c r="E89" s="93">
        <v>8.88</v>
      </c>
      <c r="F89" s="94"/>
    </row>
    <row r="90" spans="1:6" ht="36">
      <c r="A90" s="110" t="s">
        <v>65</v>
      </c>
      <c r="B90" s="8">
        <f t="shared" si="1"/>
        <v>6976.669000000001</v>
      </c>
      <c r="C90" s="20"/>
      <c r="D90" s="8"/>
      <c r="E90" s="20">
        <f>E91+E92</f>
        <v>1620.014</v>
      </c>
      <c r="F90" s="21">
        <f>F91+F92</f>
        <v>5356.655000000001</v>
      </c>
    </row>
    <row r="91" spans="1:6" ht="18.75">
      <c r="A91" s="109" t="s">
        <v>13</v>
      </c>
      <c r="B91" s="8">
        <f t="shared" si="1"/>
        <v>3578.5370000000003</v>
      </c>
      <c r="C91" s="8"/>
      <c r="D91" s="8"/>
      <c r="E91" s="20">
        <v>1562.983</v>
      </c>
      <c r="F91" s="21">
        <v>2015.554</v>
      </c>
    </row>
    <row r="92" spans="1:6" ht="18.75">
      <c r="A92" s="109" t="s">
        <v>10</v>
      </c>
      <c r="B92" s="8">
        <f t="shared" si="1"/>
        <v>3398.132</v>
      </c>
      <c r="C92" s="8"/>
      <c r="D92" s="8"/>
      <c r="E92" s="20">
        <f>E93+E94</f>
        <v>57.031000000000006</v>
      </c>
      <c r="F92" s="21">
        <f>F93+F94</f>
        <v>3341.101</v>
      </c>
    </row>
    <row r="93" spans="1:6" ht="18.75">
      <c r="A93" s="109" t="s">
        <v>11</v>
      </c>
      <c r="B93" s="8">
        <f t="shared" si="1"/>
        <v>839.657</v>
      </c>
      <c r="C93" s="10"/>
      <c r="D93" s="8"/>
      <c r="E93" s="93">
        <v>24.73</v>
      </c>
      <c r="F93" s="94">
        <v>814.927</v>
      </c>
    </row>
    <row r="94" spans="1:6" ht="19.5" thickBot="1">
      <c r="A94" s="116" t="s">
        <v>12</v>
      </c>
      <c r="B94" s="14">
        <f t="shared" si="1"/>
        <v>2558.475</v>
      </c>
      <c r="C94" s="101"/>
      <c r="D94" s="14"/>
      <c r="E94" s="117">
        <v>32.301</v>
      </c>
      <c r="F94" s="118">
        <v>2526.174</v>
      </c>
    </row>
    <row r="95" spans="1:6" ht="18">
      <c r="A95" s="54" t="s">
        <v>21</v>
      </c>
      <c r="B95" s="55">
        <f t="shared" si="1"/>
        <v>495.647</v>
      </c>
      <c r="C95" s="32"/>
      <c r="D95" s="32"/>
      <c r="E95" s="119">
        <v>495.647</v>
      </c>
      <c r="F95" s="33"/>
    </row>
    <row r="96" spans="1:6" ht="18">
      <c r="A96" s="31" t="s">
        <v>22</v>
      </c>
      <c r="B96" s="5">
        <f t="shared" si="1"/>
        <v>51.605</v>
      </c>
      <c r="C96" s="8"/>
      <c r="D96" s="8"/>
      <c r="E96" s="93">
        <v>51.605</v>
      </c>
      <c r="F96" s="9"/>
    </row>
    <row r="97" spans="1:6" ht="18">
      <c r="A97" s="31" t="s">
        <v>27</v>
      </c>
      <c r="B97" s="5">
        <f t="shared" si="1"/>
        <v>669.6940000000001</v>
      </c>
      <c r="C97" s="8"/>
      <c r="D97" s="8"/>
      <c r="E97" s="93">
        <v>576.926</v>
      </c>
      <c r="F97" s="94">
        <v>92.768</v>
      </c>
    </row>
    <row r="98" spans="1:6" ht="18">
      <c r="A98" s="31" t="s">
        <v>23</v>
      </c>
      <c r="B98" s="5">
        <f t="shared" si="1"/>
        <v>874.153</v>
      </c>
      <c r="C98" s="10">
        <v>582.186</v>
      </c>
      <c r="D98" s="10"/>
      <c r="E98" s="10">
        <v>148.992</v>
      </c>
      <c r="F98" s="17">
        <v>142.975</v>
      </c>
    </row>
    <row r="99" spans="1:6" ht="36.75" thickBot="1">
      <c r="A99" s="120" t="s">
        <v>24</v>
      </c>
      <c r="B99" s="121">
        <f t="shared" si="1"/>
        <v>668.237</v>
      </c>
      <c r="C99" s="122"/>
      <c r="D99" s="122"/>
      <c r="E99" s="122">
        <v>668.237</v>
      </c>
      <c r="F99" s="123"/>
    </row>
    <row r="100" spans="1:6" ht="18.75" thickBot="1">
      <c r="A100" s="30" t="s">
        <v>66</v>
      </c>
      <c r="B100" s="50">
        <f t="shared" si="1"/>
        <v>135549.995</v>
      </c>
      <c r="C100" s="124">
        <f>C5+C10+C15+C20+C25+C30+C35+C40+C45+C50+C55+C60+C65+C70+C75+C80+C85+C90+C95+C96+C97+C98+C99</f>
        <v>53896.56799999999</v>
      </c>
      <c r="D100" s="124">
        <f>D5+D10+D15+D20+D25+D30+D35+D40+D45+D50+D55+D60+D65+D70+D75+D80+D85+D90+D95+D96+D97+D98+D99</f>
        <v>2029.8619999999999</v>
      </c>
      <c r="E100" s="124">
        <f>E5+E10+E15+E20+E25+E30+E35+E40+E45+E50+E55+E60+E65+E70+E75+E80+E85+E90+E95+E96+E97+E98+E99</f>
        <v>34948.431</v>
      </c>
      <c r="F100" s="51">
        <f>F5+F10+F15+F20+F25+F30+F35+F40+F45+F50+F55+F60+F65+F70+F75+F80+F85+F90+F95+F96+F97+F98+F99</f>
        <v>44675.13399999999</v>
      </c>
    </row>
    <row r="101" spans="1:6" ht="20.25">
      <c r="A101" s="3"/>
      <c r="B101" s="125"/>
      <c r="C101" s="125"/>
      <c r="D101" s="125"/>
      <c r="E101" s="125"/>
      <c r="F101" s="125"/>
    </row>
    <row r="102" spans="1:6" ht="20.25">
      <c r="A102" s="3"/>
      <c r="B102" s="125"/>
      <c r="C102" s="125"/>
      <c r="D102" s="125"/>
      <c r="E102" s="125"/>
      <c r="F102" s="125"/>
    </row>
    <row r="103" spans="1:6" ht="20.25">
      <c r="A103" s="3"/>
      <c r="B103" s="125"/>
      <c r="C103" s="125"/>
      <c r="D103" s="125"/>
      <c r="E103" s="125"/>
      <c r="F103" s="125"/>
    </row>
  </sheetData>
  <sheetProtection/>
  <mergeCells count="2">
    <mergeCell ref="A1:F1"/>
    <mergeCell ref="A2:F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="60" zoomScaleNormal="60" zoomScalePageLayoutView="0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95" sqref="H95"/>
    </sheetView>
  </sheetViews>
  <sheetFormatPr defaultColWidth="9.00390625" defaultRowHeight="12.75"/>
  <cols>
    <col min="1" max="1" width="57.125" style="0" customWidth="1"/>
    <col min="2" max="2" width="25.25390625" style="0" customWidth="1"/>
    <col min="3" max="6" width="25.25390625" style="3" customWidth="1"/>
    <col min="7" max="7" width="11.75390625" style="77" customWidth="1"/>
    <col min="8" max="8" width="27.00390625" style="77" customWidth="1"/>
    <col min="9" max="9" width="20.625" style="77" customWidth="1"/>
    <col min="10" max="16384" width="9.125" style="77" customWidth="1"/>
  </cols>
  <sheetData>
    <row r="1" spans="1:6" ht="23.25">
      <c r="A1" s="162" t="s">
        <v>32</v>
      </c>
      <c r="B1" s="162"/>
      <c r="C1" s="162"/>
      <c r="D1" s="162"/>
      <c r="E1" s="162"/>
      <c r="F1" s="162"/>
    </row>
    <row r="2" spans="1:6" s="83" customFormat="1" ht="23.25">
      <c r="A2" s="163" t="s">
        <v>48</v>
      </c>
      <c r="B2" s="163"/>
      <c r="C2" s="163"/>
      <c r="D2" s="164"/>
      <c r="E2" s="164"/>
      <c r="F2" s="164"/>
    </row>
    <row r="3" spans="1:6" ht="18.75" thickBot="1">
      <c r="A3" s="3"/>
      <c r="B3" s="3"/>
      <c r="F3" s="73" t="s">
        <v>31</v>
      </c>
    </row>
    <row r="4" spans="1:8" s="85" customFormat="1" ht="29.25" customHeight="1" thickBot="1">
      <c r="A4" s="43" t="s">
        <v>20</v>
      </c>
      <c r="B4" s="69"/>
      <c r="C4" s="52" t="s">
        <v>0</v>
      </c>
      <c r="D4" s="52" t="s">
        <v>1</v>
      </c>
      <c r="E4" s="52" t="s">
        <v>2</v>
      </c>
      <c r="F4" s="53" t="s">
        <v>3</v>
      </c>
      <c r="G4" s="7"/>
      <c r="H4" s="84"/>
    </row>
    <row r="5" spans="1:8" s="4" customFormat="1" ht="44.25" customHeight="1">
      <c r="A5" s="74" t="s">
        <v>57</v>
      </c>
      <c r="B5" s="55">
        <f>C5+D5+E5+F5</f>
        <v>73616.17300000001</v>
      </c>
      <c r="C5" s="97">
        <f>C6+C7</f>
        <v>34923.876000000004</v>
      </c>
      <c r="D5" s="97">
        <f>D6+D7</f>
        <v>978.039</v>
      </c>
      <c r="E5" s="97">
        <f>E6+E7</f>
        <v>16459.075</v>
      </c>
      <c r="F5" s="98">
        <f>F6+F7</f>
        <v>21255.183</v>
      </c>
      <c r="G5" s="13"/>
      <c r="H5" s="26"/>
    </row>
    <row r="6" spans="1:9" s="4" customFormat="1" ht="27" customHeight="1">
      <c r="A6" s="18" t="s">
        <v>13</v>
      </c>
      <c r="B6" s="5">
        <f aca="true" t="shared" si="0" ref="B6:B55">C6+D6+E6+F6</f>
        <v>58505.919</v>
      </c>
      <c r="C6" s="8">
        <f>34897.546</f>
        <v>34897.546</v>
      </c>
      <c r="D6" s="8">
        <v>977.049</v>
      </c>
      <c r="E6" s="8">
        <v>15560.96</v>
      </c>
      <c r="F6" s="9">
        <v>7070.364</v>
      </c>
      <c r="G6" s="13"/>
      <c r="H6" s="26"/>
      <c r="I6" s="26"/>
    </row>
    <row r="7" spans="1:8" s="4" customFormat="1" ht="20.25" customHeight="1">
      <c r="A7" s="18" t="s">
        <v>10</v>
      </c>
      <c r="B7" s="5">
        <f t="shared" si="0"/>
        <v>15110.254</v>
      </c>
      <c r="C7" s="8">
        <f>C8+C9</f>
        <v>26.330000000000002</v>
      </c>
      <c r="D7" s="20">
        <f>D8+D9</f>
        <v>0.99</v>
      </c>
      <c r="E7" s="20">
        <f>E8+E9</f>
        <v>898.115</v>
      </c>
      <c r="F7" s="21">
        <f>F8+F9</f>
        <v>14184.819000000001</v>
      </c>
      <c r="G7" s="13"/>
      <c r="H7" s="26"/>
    </row>
    <row r="8" spans="1:8" s="4" customFormat="1" ht="21.75" customHeight="1">
      <c r="A8" s="18" t="s">
        <v>11</v>
      </c>
      <c r="B8" s="5">
        <f t="shared" si="0"/>
        <v>4105.811</v>
      </c>
      <c r="C8" s="93">
        <v>7.887</v>
      </c>
      <c r="D8" s="93"/>
      <c r="E8" s="93">
        <v>93.279</v>
      </c>
      <c r="F8" s="94">
        <v>4004.645</v>
      </c>
      <c r="G8" s="13"/>
      <c r="H8" s="26"/>
    </row>
    <row r="9" spans="1:8" s="4" customFormat="1" ht="24.75" customHeight="1">
      <c r="A9" s="18" t="s">
        <v>12</v>
      </c>
      <c r="B9" s="5">
        <f t="shared" si="0"/>
        <v>11004.443000000001</v>
      </c>
      <c r="C9" s="93">
        <v>18.443</v>
      </c>
      <c r="D9" s="93">
        <v>0.99</v>
      </c>
      <c r="E9" s="93">
        <v>804.836</v>
      </c>
      <c r="F9" s="94">
        <v>10180.174</v>
      </c>
      <c r="G9" s="7"/>
      <c r="H9" s="40"/>
    </row>
    <row r="10" spans="1:8" s="4" customFormat="1" ht="47.25" customHeight="1">
      <c r="A10" s="75" t="s">
        <v>58</v>
      </c>
      <c r="B10" s="5">
        <f t="shared" si="0"/>
        <v>4463.3099999999995</v>
      </c>
      <c r="C10" s="20">
        <f>C11+C12</f>
        <v>576.12</v>
      </c>
      <c r="D10" s="20"/>
      <c r="E10" s="20">
        <f>E11+E12</f>
        <v>1497.837</v>
      </c>
      <c r="F10" s="21">
        <f>F11+F12</f>
        <v>2389.353</v>
      </c>
      <c r="G10" s="13"/>
      <c r="H10" s="40"/>
    </row>
    <row r="11" spans="1:8" s="4" customFormat="1" ht="21.75" customHeight="1">
      <c r="A11" s="18" t="s">
        <v>13</v>
      </c>
      <c r="B11" s="5">
        <f t="shared" si="0"/>
        <v>2729.231</v>
      </c>
      <c r="C11" s="8">
        <v>516.089</v>
      </c>
      <c r="D11" s="8"/>
      <c r="E11" s="8">
        <v>1253.822</v>
      </c>
      <c r="F11" s="9">
        <v>959.32</v>
      </c>
      <c r="G11" s="13"/>
      <c r="H11" s="40"/>
    </row>
    <row r="12" spans="1:8" s="4" customFormat="1" ht="19.5" customHeight="1">
      <c r="A12" s="18" t="s">
        <v>10</v>
      </c>
      <c r="B12" s="5">
        <f t="shared" si="0"/>
        <v>1734.079</v>
      </c>
      <c r="C12" s="20">
        <f>C13+C14</f>
        <v>60.031</v>
      </c>
      <c r="D12" s="8"/>
      <c r="E12" s="20">
        <f>E13+E14</f>
        <v>244.015</v>
      </c>
      <c r="F12" s="21">
        <f>F13+F14</f>
        <v>1430.033</v>
      </c>
      <c r="G12" s="13"/>
      <c r="H12" s="40"/>
    </row>
    <row r="13" spans="1:8" s="4" customFormat="1" ht="17.25" customHeight="1">
      <c r="A13" s="18" t="s">
        <v>11</v>
      </c>
      <c r="B13" s="5">
        <f t="shared" si="0"/>
        <v>1021.387</v>
      </c>
      <c r="C13" s="93"/>
      <c r="D13" s="93"/>
      <c r="E13" s="93">
        <v>42.458</v>
      </c>
      <c r="F13" s="94">
        <v>978.929</v>
      </c>
      <c r="G13" s="13"/>
      <c r="H13" s="40"/>
    </row>
    <row r="14" spans="1:8" s="4" customFormat="1" ht="17.25" customHeight="1">
      <c r="A14" s="18" t="s">
        <v>12</v>
      </c>
      <c r="B14" s="5">
        <f t="shared" si="0"/>
        <v>712.692</v>
      </c>
      <c r="C14" s="93">
        <v>60.031</v>
      </c>
      <c r="D14" s="93"/>
      <c r="E14" s="93">
        <v>201.557</v>
      </c>
      <c r="F14" s="94">
        <v>451.104</v>
      </c>
      <c r="G14" s="13"/>
      <c r="H14" s="40"/>
    </row>
    <row r="15" spans="1:8" s="4" customFormat="1" ht="35.25" customHeight="1">
      <c r="A15" s="75" t="s">
        <v>6</v>
      </c>
      <c r="B15" s="5">
        <f t="shared" si="0"/>
        <v>1020.814</v>
      </c>
      <c r="C15" s="20">
        <f>C16+C17</f>
        <v>1020.814</v>
      </c>
      <c r="D15" s="8"/>
      <c r="E15" s="8"/>
      <c r="F15" s="9"/>
      <c r="G15" s="7"/>
      <c r="H15" s="28"/>
    </row>
    <row r="16" spans="1:8" s="4" customFormat="1" ht="19.5" customHeight="1">
      <c r="A16" s="18" t="s">
        <v>13</v>
      </c>
      <c r="B16" s="5">
        <f t="shared" si="0"/>
        <v>1020.557</v>
      </c>
      <c r="C16" s="8">
        <v>1020.557</v>
      </c>
      <c r="D16" s="8"/>
      <c r="E16" s="20"/>
      <c r="F16" s="21"/>
      <c r="G16" s="7"/>
      <c r="H16" s="28"/>
    </row>
    <row r="17" spans="1:8" s="4" customFormat="1" ht="18" customHeight="1">
      <c r="A17" s="18" t="s">
        <v>10</v>
      </c>
      <c r="B17" s="5">
        <f t="shared" si="0"/>
        <v>0.257</v>
      </c>
      <c r="C17" s="20">
        <f>C18+C19</f>
        <v>0.257</v>
      </c>
      <c r="D17" s="8"/>
      <c r="E17" s="20"/>
      <c r="F17" s="21"/>
      <c r="G17" s="7"/>
      <c r="H17" s="28"/>
    </row>
    <row r="18" spans="1:8" s="4" customFormat="1" ht="19.5" customHeight="1">
      <c r="A18" s="18" t="s">
        <v>11</v>
      </c>
      <c r="B18" s="5">
        <f t="shared" si="0"/>
        <v>0.257</v>
      </c>
      <c r="C18" s="93">
        <v>0.257</v>
      </c>
      <c r="D18" s="93"/>
      <c r="E18" s="93"/>
      <c r="F18" s="94"/>
      <c r="G18" s="7"/>
      <c r="H18" s="28"/>
    </row>
    <row r="19" spans="1:8" s="4" customFormat="1" ht="19.5" customHeight="1">
      <c r="A19" s="18" t="s">
        <v>12</v>
      </c>
      <c r="B19" s="5">
        <f t="shared" si="0"/>
        <v>0</v>
      </c>
      <c r="C19" s="93"/>
      <c r="D19" s="93"/>
      <c r="E19" s="93"/>
      <c r="F19" s="94"/>
      <c r="G19" s="7"/>
      <c r="H19" s="28"/>
    </row>
    <row r="20" spans="1:8" s="4" customFormat="1" ht="51" customHeight="1">
      <c r="A20" s="75" t="s">
        <v>59</v>
      </c>
      <c r="B20" s="5">
        <f t="shared" si="0"/>
        <v>235.93300000000002</v>
      </c>
      <c r="C20" s="20">
        <f>C21+C22</f>
        <v>39.995</v>
      </c>
      <c r="D20" s="20">
        <f>D21+D22</f>
        <v>100.87</v>
      </c>
      <c r="E20" s="20">
        <f>E21+E22</f>
        <v>21.978</v>
      </c>
      <c r="F20" s="21">
        <f>F21+F22</f>
        <v>73.09</v>
      </c>
      <c r="G20" s="13"/>
      <c r="H20" s="40"/>
    </row>
    <row r="21" spans="1:8" s="4" customFormat="1" ht="21.75" customHeight="1">
      <c r="A21" s="18" t="s">
        <v>13</v>
      </c>
      <c r="B21" s="5">
        <f t="shared" si="0"/>
        <v>219.09300000000002</v>
      </c>
      <c r="C21" s="136">
        <v>39.995</v>
      </c>
      <c r="D21" s="136">
        <v>100.87</v>
      </c>
      <c r="E21" s="136">
        <v>21.978</v>
      </c>
      <c r="F21" s="137">
        <v>56.25</v>
      </c>
      <c r="G21" s="13"/>
      <c r="H21" s="40"/>
    </row>
    <row r="22" spans="1:8" s="4" customFormat="1" ht="21" customHeight="1">
      <c r="A22" s="18" t="s">
        <v>10</v>
      </c>
      <c r="B22" s="5">
        <f t="shared" si="0"/>
        <v>16.84</v>
      </c>
      <c r="C22" s="20"/>
      <c r="D22" s="20"/>
      <c r="E22" s="20">
        <f>E23+E24</f>
        <v>0</v>
      </c>
      <c r="F22" s="21">
        <f>F23+F24</f>
        <v>16.84</v>
      </c>
      <c r="G22" s="13"/>
      <c r="H22" s="40"/>
    </row>
    <row r="23" spans="1:8" s="4" customFormat="1" ht="21.75" customHeight="1">
      <c r="A23" s="18" t="s">
        <v>11</v>
      </c>
      <c r="B23" s="5">
        <f t="shared" si="0"/>
        <v>16.84</v>
      </c>
      <c r="C23" s="11"/>
      <c r="D23" s="11"/>
      <c r="E23" s="11"/>
      <c r="F23" s="150">
        <v>16.84</v>
      </c>
      <c r="G23" s="13"/>
      <c r="H23" s="40"/>
    </row>
    <row r="24" spans="1:8" s="4" customFormat="1" ht="21" customHeight="1">
      <c r="A24" s="18" t="s">
        <v>12</v>
      </c>
      <c r="B24" s="5">
        <f t="shared" si="0"/>
        <v>0</v>
      </c>
      <c r="C24" s="11"/>
      <c r="D24" s="11"/>
      <c r="E24" s="11"/>
      <c r="F24" s="12"/>
      <c r="G24" s="13"/>
      <c r="H24" s="40"/>
    </row>
    <row r="25" spans="1:8" s="4" customFormat="1" ht="41.25" customHeight="1">
      <c r="A25" s="75" t="s">
        <v>7</v>
      </c>
      <c r="B25" s="5">
        <f t="shared" si="0"/>
        <v>11957.526000000002</v>
      </c>
      <c r="C25" s="20">
        <f>C26+C27</f>
        <v>7276.504</v>
      </c>
      <c r="D25" s="20"/>
      <c r="E25" s="20">
        <f>E26+E27</f>
        <v>1622.2849999999999</v>
      </c>
      <c r="F25" s="21">
        <f>F26+F27</f>
        <v>3058.737</v>
      </c>
      <c r="G25" s="13"/>
      <c r="H25" s="40"/>
    </row>
    <row r="26" spans="1:8" s="4" customFormat="1" ht="19.5" customHeight="1">
      <c r="A26" s="18" t="s">
        <v>13</v>
      </c>
      <c r="B26" s="5">
        <f t="shared" si="0"/>
        <v>9773.64</v>
      </c>
      <c r="C26" s="8">
        <v>7276.504</v>
      </c>
      <c r="D26" s="8"/>
      <c r="E26" s="20">
        <v>1583.1</v>
      </c>
      <c r="F26" s="21">
        <v>914.036</v>
      </c>
      <c r="G26" s="13"/>
      <c r="H26" s="40"/>
    </row>
    <row r="27" spans="1:8" s="4" customFormat="1" ht="24.75" customHeight="1">
      <c r="A27" s="18" t="s">
        <v>10</v>
      </c>
      <c r="B27" s="5">
        <f t="shared" si="0"/>
        <v>2183.886</v>
      </c>
      <c r="C27" s="8"/>
      <c r="D27" s="8"/>
      <c r="E27" s="20">
        <f>E28+E29</f>
        <v>39.185</v>
      </c>
      <c r="F27" s="21">
        <f>F28+F29</f>
        <v>2144.701</v>
      </c>
      <c r="G27" s="13"/>
      <c r="H27" s="40"/>
    </row>
    <row r="28" spans="1:8" s="4" customFormat="1" ht="25.5" customHeight="1">
      <c r="A28" s="18" t="s">
        <v>11</v>
      </c>
      <c r="B28" s="5">
        <f t="shared" si="0"/>
        <v>2157.313</v>
      </c>
      <c r="C28" s="93"/>
      <c r="D28" s="93"/>
      <c r="E28" s="93">
        <v>39.185</v>
      </c>
      <c r="F28" s="94">
        <f>2056.487+61.641</f>
        <v>2118.128</v>
      </c>
      <c r="G28" s="13"/>
      <c r="H28" s="40"/>
    </row>
    <row r="29" spans="1:8" s="4" customFormat="1" ht="20.25" customHeight="1">
      <c r="A29" s="18" t="s">
        <v>12</v>
      </c>
      <c r="B29" s="5">
        <f t="shared" si="0"/>
        <v>26.573</v>
      </c>
      <c r="C29" s="93"/>
      <c r="D29" s="93"/>
      <c r="E29" s="93"/>
      <c r="F29" s="94">
        <v>26.573</v>
      </c>
      <c r="G29" s="13"/>
      <c r="H29" s="40"/>
    </row>
    <row r="30" spans="1:8" s="4" customFormat="1" ht="50.25" customHeight="1">
      <c r="A30" s="75" t="s">
        <v>60</v>
      </c>
      <c r="B30" s="5">
        <f t="shared" si="0"/>
        <v>119.12400000000001</v>
      </c>
      <c r="C30" s="20"/>
      <c r="D30" s="20"/>
      <c r="E30" s="20">
        <f>E31+E32</f>
        <v>78.293</v>
      </c>
      <c r="F30" s="21">
        <f>F31+F32</f>
        <v>40.831</v>
      </c>
      <c r="G30" s="7"/>
      <c r="H30" s="28"/>
    </row>
    <row r="31" spans="1:8" s="4" customFormat="1" ht="22.5" customHeight="1">
      <c r="A31" s="18" t="s">
        <v>13</v>
      </c>
      <c r="B31" s="5">
        <f t="shared" si="0"/>
        <v>95.863</v>
      </c>
      <c r="C31" s="8"/>
      <c r="D31" s="8"/>
      <c r="E31" s="20">
        <v>78.293</v>
      </c>
      <c r="F31" s="21">
        <v>17.57</v>
      </c>
      <c r="G31" s="7"/>
      <c r="H31" s="28"/>
    </row>
    <row r="32" spans="1:8" s="4" customFormat="1" ht="24.75" customHeight="1">
      <c r="A32" s="18" t="s">
        <v>10</v>
      </c>
      <c r="B32" s="5">
        <f t="shared" si="0"/>
        <v>23.261000000000003</v>
      </c>
      <c r="C32" s="8"/>
      <c r="D32" s="8"/>
      <c r="E32" s="20">
        <f>E33+E34</f>
        <v>0</v>
      </c>
      <c r="F32" s="21">
        <f>F33+F34</f>
        <v>23.261000000000003</v>
      </c>
      <c r="G32" s="7"/>
      <c r="H32" s="28"/>
    </row>
    <row r="33" spans="1:8" s="4" customFormat="1" ht="18" customHeight="1">
      <c r="A33" s="18" t="s">
        <v>11</v>
      </c>
      <c r="B33" s="5">
        <f t="shared" si="0"/>
        <v>18.469</v>
      </c>
      <c r="C33" s="93"/>
      <c r="D33" s="93"/>
      <c r="E33" s="93"/>
      <c r="F33" s="94">
        <v>18.469</v>
      </c>
      <c r="G33" s="7"/>
      <c r="H33" s="28"/>
    </row>
    <row r="34" spans="1:8" s="4" customFormat="1" ht="18" customHeight="1">
      <c r="A34" s="18" t="s">
        <v>12</v>
      </c>
      <c r="B34" s="5">
        <f t="shared" si="0"/>
        <v>4.792</v>
      </c>
      <c r="C34" s="93"/>
      <c r="D34" s="93"/>
      <c r="E34" s="93"/>
      <c r="F34" s="94">
        <v>4.792</v>
      </c>
      <c r="G34" s="7"/>
      <c r="H34" s="28"/>
    </row>
    <row r="35" spans="1:8" s="4" customFormat="1" ht="25.5" customHeight="1">
      <c r="A35" s="75" t="s">
        <v>61</v>
      </c>
      <c r="B35" s="5">
        <f t="shared" si="0"/>
        <v>69.078</v>
      </c>
      <c r="C35" s="20">
        <f>C36+C37</f>
        <v>42.335</v>
      </c>
      <c r="D35" s="95"/>
      <c r="E35" s="20">
        <f>E36+E37</f>
        <v>26.743</v>
      </c>
      <c r="F35" s="21">
        <f>F36+F37</f>
        <v>0</v>
      </c>
      <c r="G35" s="7"/>
      <c r="H35" s="28"/>
    </row>
    <row r="36" spans="1:8" s="4" customFormat="1" ht="23.25" customHeight="1">
      <c r="A36" s="18" t="s">
        <v>13</v>
      </c>
      <c r="B36" s="5">
        <f t="shared" si="0"/>
        <v>57.987</v>
      </c>
      <c r="C36" s="8">
        <v>42.335</v>
      </c>
      <c r="D36" s="8"/>
      <c r="E36" s="8">
        <v>15.652</v>
      </c>
      <c r="F36" s="9"/>
      <c r="G36" s="7"/>
      <c r="H36" s="28"/>
    </row>
    <row r="37" spans="1:8" s="4" customFormat="1" ht="23.25" customHeight="1">
      <c r="A37" s="18" t="s">
        <v>10</v>
      </c>
      <c r="B37" s="5">
        <f t="shared" si="0"/>
        <v>11.091</v>
      </c>
      <c r="C37" s="20">
        <f>C38+C39</f>
        <v>0</v>
      </c>
      <c r="D37" s="8"/>
      <c r="E37" s="20">
        <f>E38+E39</f>
        <v>11.091</v>
      </c>
      <c r="F37" s="21"/>
      <c r="G37" s="7"/>
      <c r="H37" s="28"/>
    </row>
    <row r="38" spans="1:8" s="4" customFormat="1" ht="23.25" customHeight="1">
      <c r="A38" s="18" t="s">
        <v>11</v>
      </c>
      <c r="B38" s="5">
        <f t="shared" si="0"/>
        <v>0</v>
      </c>
      <c r="C38" s="95"/>
      <c r="D38" s="95"/>
      <c r="E38" s="95"/>
      <c r="F38" s="12"/>
      <c r="G38" s="7"/>
      <c r="H38" s="28"/>
    </row>
    <row r="39" spans="1:8" s="4" customFormat="1" ht="23.25" customHeight="1">
      <c r="A39" s="18" t="s">
        <v>12</v>
      </c>
      <c r="B39" s="5">
        <f t="shared" si="0"/>
        <v>11.091</v>
      </c>
      <c r="C39" s="95"/>
      <c r="D39" s="95"/>
      <c r="E39" s="95">
        <v>11.091</v>
      </c>
      <c r="F39" s="12"/>
      <c r="G39" s="7"/>
      <c r="H39" s="28"/>
    </row>
    <row r="40" spans="1:9" s="4" customFormat="1" ht="42" customHeight="1">
      <c r="A40" s="75" t="s">
        <v>26</v>
      </c>
      <c r="B40" s="5">
        <f t="shared" si="0"/>
        <v>58.032</v>
      </c>
      <c r="C40" s="95">
        <f>C41+C42</f>
        <v>0.727</v>
      </c>
      <c r="D40" s="95"/>
      <c r="E40" s="95">
        <f>E41+E42</f>
        <v>57.305</v>
      </c>
      <c r="F40" s="21"/>
      <c r="G40" s="7"/>
      <c r="H40" s="40"/>
      <c r="I40" s="7"/>
    </row>
    <row r="41" spans="1:8" s="4" customFormat="1" ht="19.5" customHeight="1">
      <c r="A41" s="18" t="s">
        <v>13</v>
      </c>
      <c r="B41" s="5">
        <f t="shared" si="0"/>
        <v>58.032</v>
      </c>
      <c r="C41" s="8">
        <v>0.727</v>
      </c>
      <c r="D41" s="8"/>
      <c r="E41" s="8">
        <v>57.305</v>
      </c>
      <c r="F41" s="9"/>
      <c r="G41" s="7"/>
      <c r="H41" s="40"/>
    </row>
    <row r="42" spans="1:8" s="4" customFormat="1" ht="19.5" customHeight="1">
      <c r="A42" s="18" t="s">
        <v>10</v>
      </c>
      <c r="B42" s="5">
        <f t="shared" si="0"/>
        <v>0</v>
      </c>
      <c r="C42" s="8"/>
      <c r="D42" s="8"/>
      <c r="E42" s="20">
        <f>E43+E44</f>
        <v>0</v>
      </c>
      <c r="F42" s="21">
        <f>F43+F44</f>
        <v>0</v>
      </c>
      <c r="G42" s="7"/>
      <c r="H42" s="40"/>
    </row>
    <row r="43" spans="1:8" s="4" customFormat="1" ht="19.5" customHeight="1">
      <c r="A43" s="18" t="s">
        <v>11</v>
      </c>
      <c r="B43" s="5">
        <f t="shared" si="0"/>
        <v>0</v>
      </c>
      <c r="C43" s="95"/>
      <c r="D43" s="95"/>
      <c r="E43" s="95"/>
      <c r="F43" s="12"/>
      <c r="G43" s="7"/>
      <c r="H43" s="40"/>
    </row>
    <row r="44" spans="1:8" s="4" customFormat="1" ht="19.5" customHeight="1">
      <c r="A44" s="18" t="s">
        <v>12</v>
      </c>
      <c r="B44" s="5">
        <f t="shared" si="0"/>
        <v>0</v>
      </c>
      <c r="C44" s="95"/>
      <c r="D44" s="95"/>
      <c r="E44" s="95"/>
      <c r="F44" s="12"/>
      <c r="G44" s="7"/>
      <c r="H44" s="40"/>
    </row>
    <row r="45" spans="1:8" s="4" customFormat="1" ht="24.75" customHeight="1">
      <c r="A45" s="31" t="s">
        <v>29</v>
      </c>
      <c r="B45" s="5">
        <f t="shared" si="0"/>
        <v>484.199</v>
      </c>
      <c r="C45" s="10"/>
      <c r="D45" s="8"/>
      <c r="E45" s="20">
        <f>E46+E47</f>
        <v>403.368</v>
      </c>
      <c r="F45" s="21">
        <f>F46+F47</f>
        <v>80.831</v>
      </c>
      <c r="G45" s="13"/>
      <c r="H45" s="26"/>
    </row>
    <row r="46" spans="1:8" s="4" customFormat="1" ht="24.75" customHeight="1">
      <c r="A46" s="18" t="s">
        <v>13</v>
      </c>
      <c r="B46" s="5">
        <f t="shared" si="0"/>
        <v>484.199</v>
      </c>
      <c r="C46" s="8"/>
      <c r="D46" s="8"/>
      <c r="E46" s="20">
        <v>403.368</v>
      </c>
      <c r="F46" s="21">
        <v>80.831</v>
      </c>
      <c r="G46" s="13"/>
      <c r="H46" s="26"/>
    </row>
    <row r="47" spans="1:8" s="4" customFormat="1" ht="24.75" customHeight="1">
      <c r="A47" s="18" t="s">
        <v>10</v>
      </c>
      <c r="B47" s="5">
        <f t="shared" si="0"/>
        <v>0</v>
      </c>
      <c r="C47" s="8"/>
      <c r="D47" s="8"/>
      <c r="E47" s="20">
        <f>E48+E49</f>
        <v>0</v>
      </c>
      <c r="F47" s="21">
        <f>F48+F49</f>
        <v>0</v>
      </c>
      <c r="G47" s="13"/>
      <c r="H47" s="26"/>
    </row>
    <row r="48" spans="1:8" s="4" customFormat="1" ht="24.75" customHeight="1">
      <c r="A48" s="18" t="s">
        <v>11</v>
      </c>
      <c r="B48" s="5">
        <f t="shared" si="0"/>
        <v>0</v>
      </c>
      <c r="C48" s="10"/>
      <c r="D48" s="8"/>
      <c r="E48" s="10"/>
      <c r="F48" s="17"/>
      <c r="G48" s="13"/>
      <c r="H48" s="26"/>
    </row>
    <row r="49" spans="1:8" s="4" customFormat="1" ht="24.75" customHeight="1">
      <c r="A49" s="18" t="s">
        <v>12</v>
      </c>
      <c r="B49" s="5">
        <f t="shared" si="0"/>
        <v>0</v>
      </c>
      <c r="C49" s="10"/>
      <c r="D49" s="8"/>
      <c r="E49" s="10"/>
      <c r="F49" s="17"/>
      <c r="G49" s="13"/>
      <c r="H49" s="26"/>
    </row>
    <row r="50" spans="1:8" s="4" customFormat="1" ht="24.75" customHeight="1">
      <c r="A50" s="31" t="s">
        <v>4</v>
      </c>
      <c r="B50" s="5">
        <f t="shared" si="0"/>
        <v>629.19</v>
      </c>
      <c r="C50" s="20">
        <f>C51+C52</f>
        <v>629.19</v>
      </c>
      <c r="D50" s="8"/>
      <c r="E50" s="8"/>
      <c r="F50" s="9"/>
      <c r="G50" s="13"/>
      <c r="H50" s="26"/>
    </row>
    <row r="51" spans="1:8" s="4" customFormat="1" ht="24.75" customHeight="1">
      <c r="A51" s="18" t="s">
        <v>13</v>
      </c>
      <c r="B51" s="5">
        <f t="shared" si="0"/>
        <v>629.19</v>
      </c>
      <c r="C51" s="20">
        <v>629.19</v>
      </c>
      <c r="D51" s="8"/>
      <c r="E51" s="20">
        <f>E50-E52</f>
        <v>0</v>
      </c>
      <c r="F51" s="21">
        <f>F50-F52</f>
        <v>0</v>
      </c>
      <c r="G51" s="13"/>
      <c r="H51" s="26"/>
    </row>
    <row r="52" spans="1:8" s="4" customFormat="1" ht="24.75" customHeight="1">
      <c r="A52" s="18" t="s">
        <v>10</v>
      </c>
      <c r="B52" s="5">
        <f t="shared" si="0"/>
        <v>0</v>
      </c>
      <c r="C52" s="20">
        <f>C53+C54</f>
        <v>0</v>
      </c>
      <c r="D52" s="8"/>
      <c r="E52" s="20">
        <f>E53+E54</f>
        <v>0</v>
      </c>
      <c r="F52" s="21">
        <f>F53+F54</f>
        <v>0</v>
      </c>
      <c r="G52" s="13"/>
      <c r="H52" s="26"/>
    </row>
    <row r="53" spans="1:8" s="4" customFormat="1" ht="24.75" customHeight="1">
      <c r="A53" s="18" t="s">
        <v>11</v>
      </c>
      <c r="B53" s="5">
        <f t="shared" si="0"/>
        <v>0</v>
      </c>
      <c r="C53" s="93"/>
      <c r="D53" s="8"/>
      <c r="E53" s="8"/>
      <c r="F53" s="9"/>
      <c r="G53" s="13"/>
      <c r="H53" s="26"/>
    </row>
    <row r="54" spans="1:8" s="4" customFormat="1" ht="24.75" customHeight="1">
      <c r="A54" s="18" t="s">
        <v>12</v>
      </c>
      <c r="B54" s="5">
        <f t="shared" si="0"/>
        <v>0</v>
      </c>
      <c r="C54" s="93"/>
      <c r="D54" s="8"/>
      <c r="E54" s="8"/>
      <c r="F54" s="9"/>
      <c r="G54" s="13"/>
      <c r="H54" s="26"/>
    </row>
    <row r="55" spans="1:8" s="4" customFormat="1" ht="50.25" customHeight="1">
      <c r="A55" s="75" t="s">
        <v>62</v>
      </c>
      <c r="B55" s="5">
        <f t="shared" si="0"/>
        <v>668.652</v>
      </c>
      <c r="C55" s="20">
        <f>C56+C57</f>
        <v>0</v>
      </c>
      <c r="D55" s="20">
        <f>D56+D57</f>
        <v>0</v>
      </c>
      <c r="E55" s="20">
        <f>E56+E57</f>
        <v>261.146</v>
      </c>
      <c r="F55" s="21">
        <f>F56+F57</f>
        <v>407.50600000000003</v>
      </c>
      <c r="G55" s="13"/>
      <c r="H55" s="26"/>
    </row>
    <row r="56" spans="1:8" s="4" customFormat="1" ht="26.25" customHeight="1">
      <c r="A56" s="18" t="s">
        <v>13</v>
      </c>
      <c r="B56" s="5">
        <f>F56+E56+D56+C56</f>
        <v>367.374</v>
      </c>
      <c r="C56" s="20"/>
      <c r="D56" s="20"/>
      <c r="E56" s="20">
        <v>261.146</v>
      </c>
      <c r="F56" s="21">
        <v>106.228</v>
      </c>
      <c r="G56" s="13"/>
      <c r="H56" s="26"/>
    </row>
    <row r="57" spans="1:8" s="4" customFormat="1" ht="26.25" customHeight="1">
      <c r="A57" s="18" t="s">
        <v>10</v>
      </c>
      <c r="B57" s="5">
        <f aca="true" t="shared" si="1" ref="B57:B100">C57+D57+E57+F57</f>
        <v>301.278</v>
      </c>
      <c r="C57" s="20">
        <f>C58+C59</f>
        <v>0</v>
      </c>
      <c r="D57" s="20">
        <f>D58+D59</f>
        <v>0</v>
      </c>
      <c r="E57" s="20">
        <f>E58+E59</f>
        <v>0</v>
      </c>
      <c r="F57" s="21">
        <f>F58+F59</f>
        <v>301.278</v>
      </c>
      <c r="G57" s="13"/>
      <c r="H57" s="26"/>
    </row>
    <row r="58" spans="1:8" s="4" customFormat="1" ht="26.25" customHeight="1">
      <c r="A58" s="18" t="s">
        <v>11</v>
      </c>
      <c r="B58" s="5">
        <f t="shared" si="1"/>
        <v>265.024</v>
      </c>
      <c r="C58" s="93"/>
      <c r="D58" s="8"/>
      <c r="E58" s="8"/>
      <c r="F58" s="9">
        <v>265.024</v>
      </c>
      <c r="G58" s="13"/>
      <c r="H58" s="26"/>
    </row>
    <row r="59" spans="1:8" s="4" customFormat="1" ht="26.25" customHeight="1">
      <c r="A59" s="18" t="s">
        <v>12</v>
      </c>
      <c r="B59" s="5">
        <f t="shared" si="1"/>
        <v>36.254</v>
      </c>
      <c r="C59" s="93"/>
      <c r="D59" s="8"/>
      <c r="E59" s="8"/>
      <c r="F59" s="9">
        <v>36.254</v>
      </c>
      <c r="G59" s="13"/>
      <c r="H59" s="26"/>
    </row>
    <row r="60" spans="1:8" s="4" customFormat="1" ht="24.75" customHeight="1">
      <c r="A60" s="75" t="s">
        <v>28</v>
      </c>
      <c r="B60" s="5">
        <f t="shared" si="1"/>
        <v>2028.02</v>
      </c>
      <c r="C60" s="8">
        <f>C61+C62</f>
        <v>2020.32</v>
      </c>
      <c r="D60" s="8"/>
      <c r="E60" s="8">
        <f>E61+E62</f>
        <v>0</v>
      </c>
      <c r="F60" s="9">
        <f>F61+F62</f>
        <v>7.7</v>
      </c>
      <c r="G60" s="7"/>
      <c r="H60" s="26"/>
    </row>
    <row r="61" spans="1:8" s="4" customFormat="1" ht="21.75" customHeight="1">
      <c r="A61" s="18" t="s">
        <v>13</v>
      </c>
      <c r="B61" s="5">
        <f t="shared" si="1"/>
        <v>2028.02</v>
      </c>
      <c r="C61" s="113">
        <v>2020.32</v>
      </c>
      <c r="D61" s="113"/>
      <c r="E61" s="113"/>
      <c r="F61" s="114">
        <v>7.7</v>
      </c>
      <c r="G61" s="7"/>
      <c r="H61" s="36"/>
    </row>
    <row r="62" spans="1:8" s="4" customFormat="1" ht="16.5" customHeight="1">
      <c r="A62" s="18" t="s">
        <v>10</v>
      </c>
      <c r="B62" s="5">
        <f t="shared" si="1"/>
        <v>0</v>
      </c>
      <c r="C62" s="93"/>
      <c r="D62" s="8"/>
      <c r="E62" s="8">
        <f>E64+E63</f>
        <v>0</v>
      </c>
      <c r="F62" s="9">
        <f>F64+F63</f>
        <v>0</v>
      </c>
      <c r="G62" s="7"/>
      <c r="H62" s="36"/>
    </row>
    <row r="63" spans="1:8" s="4" customFormat="1" ht="18" customHeight="1">
      <c r="A63" s="18" t="s">
        <v>11</v>
      </c>
      <c r="B63" s="5">
        <f t="shared" si="1"/>
        <v>0</v>
      </c>
      <c r="C63" s="93"/>
      <c r="D63" s="8"/>
      <c r="E63" s="10"/>
      <c r="F63" s="17"/>
      <c r="G63" s="7"/>
      <c r="H63" s="36"/>
    </row>
    <row r="64" spans="1:8" s="4" customFormat="1" ht="18" customHeight="1">
      <c r="A64" s="18" t="s">
        <v>12</v>
      </c>
      <c r="B64" s="5">
        <f t="shared" si="1"/>
        <v>0</v>
      </c>
      <c r="C64" s="93"/>
      <c r="D64" s="8"/>
      <c r="E64" s="10"/>
      <c r="F64" s="17"/>
      <c r="G64" s="7"/>
      <c r="H64" s="36"/>
    </row>
    <row r="65" spans="1:8" s="4" customFormat="1" ht="24.75" customHeight="1">
      <c r="A65" s="75" t="s">
        <v>63</v>
      </c>
      <c r="B65" s="5">
        <f t="shared" si="1"/>
        <v>0</v>
      </c>
      <c r="C65" s="8">
        <f>C66+C67</f>
        <v>0</v>
      </c>
      <c r="D65" s="8"/>
      <c r="E65" s="8">
        <f>E66+E67</f>
        <v>0</v>
      </c>
      <c r="F65" s="9">
        <f>F66+F67</f>
        <v>0</v>
      </c>
      <c r="G65" s="7"/>
      <c r="H65" s="36"/>
    </row>
    <row r="66" spans="1:8" s="4" customFormat="1" ht="21.75" customHeight="1">
      <c r="A66" s="18" t="s">
        <v>13</v>
      </c>
      <c r="B66" s="5">
        <f t="shared" si="1"/>
        <v>0</v>
      </c>
      <c r="C66" s="113"/>
      <c r="D66" s="113"/>
      <c r="E66" s="113"/>
      <c r="F66" s="114"/>
      <c r="G66" s="7"/>
      <c r="H66" s="36"/>
    </row>
    <row r="67" spans="1:8" s="4" customFormat="1" ht="18" customHeight="1">
      <c r="A67" s="18" t="s">
        <v>10</v>
      </c>
      <c r="B67" s="5">
        <f t="shared" si="1"/>
        <v>0</v>
      </c>
      <c r="C67" s="93"/>
      <c r="D67" s="8"/>
      <c r="E67" s="8">
        <f>E69+E68</f>
        <v>0</v>
      </c>
      <c r="F67" s="9">
        <f>F69+F68</f>
        <v>0</v>
      </c>
      <c r="G67" s="7"/>
      <c r="H67" s="36"/>
    </row>
    <row r="68" spans="1:8" s="4" customFormat="1" ht="19.5" customHeight="1">
      <c r="A68" s="18" t="s">
        <v>11</v>
      </c>
      <c r="B68" s="5">
        <f t="shared" si="1"/>
        <v>0</v>
      </c>
      <c r="C68" s="93"/>
      <c r="D68" s="8"/>
      <c r="E68" s="10"/>
      <c r="F68" s="17"/>
      <c r="G68" s="7"/>
      <c r="H68" s="36"/>
    </row>
    <row r="69" spans="1:8" s="4" customFormat="1" ht="19.5" customHeight="1">
      <c r="A69" s="18" t="s">
        <v>12</v>
      </c>
      <c r="B69" s="5">
        <f t="shared" si="1"/>
        <v>0</v>
      </c>
      <c r="C69" s="93"/>
      <c r="D69" s="8"/>
      <c r="E69" s="10"/>
      <c r="F69" s="17"/>
      <c r="G69" s="7"/>
      <c r="H69" s="36"/>
    </row>
    <row r="70" spans="1:8" s="7" customFormat="1" ht="40.5" customHeight="1">
      <c r="A70" s="75" t="s">
        <v>25</v>
      </c>
      <c r="B70" s="5">
        <f t="shared" si="1"/>
        <v>55.208</v>
      </c>
      <c r="C70" s="93"/>
      <c r="D70" s="8"/>
      <c r="E70" s="8">
        <f>E71+E72</f>
        <v>0</v>
      </c>
      <c r="F70" s="9">
        <f>F71+F72</f>
        <v>55.208</v>
      </c>
      <c r="H70" s="28"/>
    </row>
    <row r="71" spans="1:6" ht="21.75" customHeight="1">
      <c r="A71" s="18" t="s">
        <v>13</v>
      </c>
      <c r="B71" s="5">
        <f t="shared" si="1"/>
        <v>7.719</v>
      </c>
      <c r="C71" s="93"/>
      <c r="D71" s="8"/>
      <c r="E71" s="8"/>
      <c r="F71" s="115">
        <v>7.719</v>
      </c>
    </row>
    <row r="72" spans="1:6" ht="20.25" customHeight="1">
      <c r="A72" s="18" t="s">
        <v>10</v>
      </c>
      <c r="B72" s="5">
        <f t="shared" si="1"/>
        <v>47.489</v>
      </c>
      <c r="C72" s="93"/>
      <c r="D72" s="8"/>
      <c r="E72" s="8">
        <f>E74+E73</f>
        <v>0</v>
      </c>
      <c r="F72" s="9">
        <f>F73+F74</f>
        <v>47.489</v>
      </c>
    </row>
    <row r="73" spans="1:8" s="81" customFormat="1" ht="23.25" customHeight="1">
      <c r="A73" s="18" t="s">
        <v>11</v>
      </c>
      <c r="B73" s="5">
        <f t="shared" si="1"/>
        <v>47.489</v>
      </c>
      <c r="C73" s="93"/>
      <c r="D73" s="8"/>
      <c r="E73" s="10"/>
      <c r="F73" s="17">
        <v>47.489</v>
      </c>
      <c r="G73" s="7"/>
      <c r="H73" s="78"/>
    </row>
    <row r="74" spans="1:8" s="81" customFormat="1" ht="23.25" customHeight="1">
      <c r="A74" s="18" t="s">
        <v>12</v>
      </c>
      <c r="B74" s="5">
        <f t="shared" si="1"/>
        <v>0</v>
      </c>
      <c r="C74" s="93"/>
      <c r="D74" s="8"/>
      <c r="E74" s="10"/>
      <c r="F74" s="17"/>
      <c r="G74" s="7"/>
      <c r="H74" s="79"/>
    </row>
    <row r="75" spans="1:8" s="81" customFormat="1" ht="45.75" customHeight="1">
      <c r="A75" s="75" t="s">
        <v>64</v>
      </c>
      <c r="B75" s="5">
        <f t="shared" si="1"/>
        <v>203.06799999999998</v>
      </c>
      <c r="C75" s="93"/>
      <c r="D75" s="8"/>
      <c r="E75" s="8">
        <f>E76+E77</f>
        <v>11.95</v>
      </c>
      <c r="F75" s="9">
        <f>F76+F77</f>
        <v>191.118</v>
      </c>
      <c r="G75" s="7"/>
      <c r="H75" s="80"/>
    </row>
    <row r="76" spans="1:8" s="81" customFormat="1" ht="23.25" customHeight="1">
      <c r="A76" s="18" t="s">
        <v>13</v>
      </c>
      <c r="B76" s="5">
        <f t="shared" si="1"/>
        <v>55.388999999999996</v>
      </c>
      <c r="C76" s="93"/>
      <c r="D76" s="8"/>
      <c r="E76" s="20">
        <v>11.95</v>
      </c>
      <c r="F76" s="21">
        <v>43.439</v>
      </c>
      <c r="G76" s="58"/>
      <c r="H76" s="80"/>
    </row>
    <row r="77" spans="1:8" s="81" customFormat="1" ht="23.25" customHeight="1">
      <c r="A77" s="18" t="s">
        <v>10</v>
      </c>
      <c r="B77" s="5">
        <f t="shared" si="1"/>
        <v>147.679</v>
      </c>
      <c r="C77" s="93"/>
      <c r="D77" s="8"/>
      <c r="E77" s="8">
        <f>E79+E78</f>
        <v>0</v>
      </c>
      <c r="F77" s="9">
        <f>F79+F78</f>
        <v>147.679</v>
      </c>
      <c r="G77" s="7"/>
      <c r="H77" s="36"/>
    </row>
    <row r="78" spans="1:8" s="81" customFormat="1" ht="23.25" customHeight="1">
      <c r="A78" s="18" t="s">
        <v>11</v>
      </c>
      <c r="B78" s="5">
        <f t="shared" si="1"/>
        <v>0</v>
      </c>
      <c r="C78" s="93"/>
      <c r="D78" s="8"/>
      <c r="E78" s="8"/>
      <c r="F78" s="9"/>
      <c r="G78" s="59"/>
      <c r="H78" s="36"/>
    </row>
    <row r="79" spans="1:8" s="81" customFormat="1" ht="23.25" customHeight="1">
      <c r="A79" s="18" t="s">
        <v>12</v>
      </c>
      <c r="B79" s="5">
        <f t="shared" si="1"/>
        <v>147.679</v>
      </c>
      <c r="C79" s="93"/>
      <c r="D79" s="8"/>
      <c r="E79" s="8"/>
      <c r="F79" s="9">
        <v>147.679</v>
      </c>
      <c r="G79" s="7"/>
      <c r="H79" s="36"/>
    </row>
    <row r="80" spans="1:8" s="81" customFormat="1" ht="23.25" customHeight="1">
      <c r="A80" s="75" t="s">
        <v>8</v>
      </c>
      <c r="B80" s="5">
        <f t="shared" si="1"/>
        <v>798.165</v>
      </c>
      <c r="C80" s="20"/>
      <c r="D80" s="8"/>
      <c r="E80" s="20">
        <f>E81+E82</f>
        <v>434.83299999999997</v>
      </c>
      <c r="F80" s="21">
        <f>F81+F82</f>
        <v>363.332</v>
      </c>
      <c r="G80" s="7"/>
      <c r="H80" s="36"/>
    </row>
    <row r="81" spans="1:8" s="81" customFormat="1" ht="33" customHeight="1">
      <c r="A81" s="18" t="s">
        <v>13</v>
      </c>
      <c r="B81" s="5">
        <f t="shared" si="1"/>
        <v>427.096</v>
      </c>
      <c r="C81" s="8"/>
      <c r="D81" s="8"/>
      <c r="E81" s="20">
        <v>346.38</v>
      </c>
      <c r="F81" s="21">
        <v>80.716</v>
      </c>
      <c r="G81" s="7"/>
      <c r="H81" s="28"/>
    </row>
    <row r="82" spans="1:6" s="81" customFormat="1" ht="38.25" customHeight="1">
      <c r="A82" s="18" t="s">
        <v>10</v>
      </c>
      <c r="B82" s="5">
        <f t="shared" si="1"/>
        <v>371.06899999999996</v>
      </c>
      <c r="C82" s="8"/>
      <c r="D82" s="8"/>
      <c r="E82" s="20">
        <f>E83+E84</f>
        <v>88.453</v>
      </c>
      <c r="F82" s="21">
        <f>F83+F84</f>
        <v>282.616</v>
      </c>
    </row>
    <row r="83" spans="1:6" ht="18.75">
      <c r="A83" s="18" t="s">
        <v>11</v>
      </c>
      <c r="B83" s="5">
        <f t="shared" si="1"/>
        <v>299.38599999999997</v>
      </c>
      <c r="C83" s="8"/>
      <c r="D83" s="8"/>
      <c r="E83" s="93">
        <v>86.702</v>
      </c>
      <c r="F83" s="94">
        <f>196.064+16.62</f>
        <v>212.684</v>
      </c>
    </row>
    <row r="84" spans="1:6" ht="18.75">
      <c r="A84" s="18" t="s">
        <v>12</v>
      </c>
      <c r="B84" s="5">
        <f t="shared" si="1"/>
        <v>71.683</v>
      </c>
      <c r="C84" s="8"/>
      <c r="D84" s="8"/>
      <c r="E84" s="93">
        <v>1.751</v>
      </c>
      <c r="F84" s="94">
        <v>69.932</v>
      </c>
    </row>
    <row r="85" spans="1:9" s="87" customFormat="1" ht="27.75" customHeight="1">
      <c r="A85" s="75" t="s">
        <v>5</v>
      </c>
      <c r="B85" s="5">
        <f t="shared" si="1"/>
        <v>2587.142</v>
      </c>
      <c r="C85" s="20">
        <f>C86+C87</f>
        <v>371.776</v>
      </c>
      <c r="D85" s="8"/>
      <c r="E85" s="20">
        <f>E86+E87</f>
        <v>1310.317</v>
      </c>
      <c r="F85" s="21">
        <f>F86+F87</f>
        <v>905.049</v>
      </c>
      <c r="G85" s="7"/>
      <c r="H85" s="37"/>
      <c r="I85" s="39"/>
    </row>
    <row r="86" spans="1:6" ht="18.75">
      <c r="A86" s="18" t="s">
        <v>13</v>
      </c>
      <c r="B86" s="5">
        <f t="shared" si="1"/>
        <v>1675.711</v>
      </c>
      <c r="C86" s="20">
        <v>371.776</v>
      </c>
      <c r="D86" s="8"/>
      <c r="E86" s="20">
        <v>859.032</v>
      </c>
      <c r="F86" s="21">
        <v>444.903</v>
      </c>
    </row>
    <row r="87" spans="1:6" ht="18.75">
      <c r="A87" s="18" t="s">
        <v>10</v>
      </c>
      <c r="B87" s="5">
        <f t="shared" si="1"/>
        <v>911.431</v>
      </c>
      <c r="C87" s="8"/>
      <c r="D87" s="8"/>
      <c r="E87" s="20">
        <f>E88+E89</f>
        <v>451.285</v>
      </c>
      <c r="F87" s="21">
        <f>F88+F89</f>
        <v>460.146</v>
      </c>
    </row>
    <row r="88" spans="1:6" ht="18.75">
      <c r="A88" s="18" t="s">
        <v>11</v>
      </c>
      <c r="B88" s="5">
        <f t="shared" si="1"/>
        <v>906.3910000000001</v>
      </c>
      <c r="C88" s="93"/>
      <c r="D88" s="93"/>
      <c r="E88" s="93">
        <f>431.741+14.504</f>
        <v>446.245</v>
      </c>
      <c r="F88" s="94">
        <f>398.642+61.504</f>
        <v>460.146</v>
      </c>
    </row>
    <row r="89" spans="1:6" ht="18.75">
      <c r="A89" s="18" t="s">
        <v>12</v>
      </c>
      <c r="B89" s="5">
        <f t="shared" si="1"/>
        <v>5.04</v>
      </c>
      <c r="C89" s="93"/>
      <c r="D89" s="93"/>
      <c r="E89" s="93">
        <v>5.04</v>
      </c>
      <c r="F89" s="94"/>
    </row>
    <row r="90" spans="1:6" ht="36">
      <c r="A90" s="75" t="s">
        <v>65</v>
      </c>
      <c r="B90" s="5">
        <f t="shared" si="1"/>
        <v>5141.353</v>
      </c>
      <c r="C90" s="20"/>
      <c r="D90" s="8"/>
      <c r="E90" s="20">
        <f>E91+E92</f>
        <v>1183.538</v>
      </c>
      <c r="F90" s="21">
        <f>F91+F92</f>
        <v>3957.815</v>
      </c>
    </row>
    <row r="91" spans="1:6" ht="18.75">
      <c r="A91" s="18" t="s">
        <v>13</v>
      </c>
      <c r="B91" s="5">
        <f t="shared" si="1"/>
        <v>2560.0789999999997</v>
      </c>
      <c r="C91" s="8"/>
      <c r="D91" s="8"/>
      <c r="E91" s="20">
        <v>1152.405</v>
      </c>
      <c r="F91" s="21">
        <v>1407.674</v>
      </c>
    </row>
    <row r="92" spans="1:6" ht="18.75">
      <c r="A92" s="18" t="s">
        <v>10</v>
      </c>
      <c r="B92" s="5">
        <f t="shared" si="1"/>
        <v>2581.274</v>
      </c>
      <c r="C92" s="8"/>
      <c r="D92" s="8"/>
      <c r="E92" s="20">
        <f>E93+E94</f>
        <v>31.133</v>
      </c>
      <c r="F92" s="21">
        <f>F93+F94</f>
        <v>2550.141</v>
      </c>
    </row>
    <row r="93" spans="1:6" ht="18.75">
      <c r="A93" s="18" t="s">
        <v>11</v>
      </c>
      <c r="B93" s="5">
        <f t="shared" si="1"/>
        <v>578.819</v>
      </c>
      <c r="C93" s="10"/>
      <c r="D93" s="8"/>
      <c r="E93" s="93">
        <v>13.131</v>
      </c>
      <c r="F93" s="94">
        <v>565.688</v>
      </c>
    </row>
    <row r="94" spans="1:6" ht="19.5" thickBot="1">
      <c r="A94" s="19" t="s">
        <v>12</v>
      </c>
      <c r="B94" s="34">
        <f t="shared" si="1"/>
        <v>2002.455</v>
      </c>
      <c r="C94" s="24"/>
      <c r="D94" s="22"/>
      <c r="E94" s="126">
        <v>18.002</v>
      </c>
      <c r="F94" s="127">
        <v>1984.453</v>
      </c>
    </row>
    <row r="95" spans="1:6" ht="18">
      <c r="A95" s="54" t="s">
        <v>21</v>
      </c>
      <c r="B95" s="55">
        <f t="shared" si="1"/>
        <v>86.742</v>
      </c>
      <c r="C95" s="32"/>
      <c r="D95" s="32"/>
      <c r="E95" s="119">
        <v>86.742</v>
      </c>
      <c r="F95" s="33"/>
    </row>
    <row r="96" spans="1:6" ht="18">
      <c r="A96" s="31" t="s">
        <v>22</v>
      </c>
      <c r="B96" s="5">
        <f t="shared" si="1"/>
        <v>57.007</v>
      </c>
      <c r="C96" s="8"/>
      <c r="D96" s="8"/>
      <c r="E96" s="11">
        <v>57.007</v>
      </c>
      <c r="F96" s="9"/>
    </row>
    <row r="97" spans="1:6" ht="18">
      <c r="A97" s="31" t="s">
        <v>27</v>
      </c>
      <c r="B97" s="5">
        <f t="shared" si="1"/>
        <v>629.721</v>
      </c>
      <c r="C97" s="8"/>
      <c r="D97" s="8"/>
      <c r="E97" s="93">
        <v>557.3</v>
      </c>
      <c r="F97" s="94">
        <v>72.421</v>
      </c>
    </row>
    <row r="98" spans="1:6" ht="18">
      <c r="A98" s="31" t="s">
        <v>23</v>
      </c>
      <c r="B98" s="5">
        <f t="shared" si="1"/>
        <v>685.392</v>
      </c>
      <c r="C98" s="10">
        <v>478.998</v>
      </c>
      <c r="D98" s="10"/>
      <c r="E98" s="10">
        <v>92.798</v>
      </c>
      <c r="F98" s="17">
        <v>113.596</v>
      </c>
    </row>
    <row r="99" spans="1:6" ht="23.25" customHeight="1" thickBot="1">
      <c r="A99" s="120" t="s">
        <v>24</v>
      </c>
      <c r="B99" s="121">
        <f t="shared" si="1"/>
        <v>449.264</v>
      </c>
      <c r="C99" s="141"/>
      <c r="D99" s="141"/>
      <c r="E99" s="11">
        <v>449.264</v>
      </c>
      <c r="F99" s="142"/>
    </row>
    <row r="100" spans="1:6" ht="18.75" thickBot="1">
      <c r="A100" s="30" t="s">
        <v>66</v>
      </c>
      <c r="B100" s="50">
        <f t="shared" si="1"/>
        <v>106043.11299999998</v>
      </c>
      <c r="C100" s="124">
        <f>C5+C10+C15+C20+C25+C30+C35+C40+C45+C50+C55+C60+C65+C70+C75+C80+C85+C90+C95+C96+C97+C98+C99</f>
        <v>47380.655000000006</v>
      </c>
      <c r="D100" s="124">
        <f>D5+D10+D15+D20+D25+D30+D35+D40+D45+D50+D55+D60+D65+D70+D75+D80+D85+D90+D95+D96+D97+D98+D99</f>
        <v>1078.909</v>
      </c>
      <c r="E100" s="124">
        <f>E5+E10+E15+E20+E25+E30+E35+E40+E45+E50+E55+E60+E65+E70+E75+E80+E85+E90+E95+E96+E97+E98+E99</f>
        <v>24611.778999999995</v>
      </c>
      <c r="F100" s="51">
        <f>F5+F10+F15+F20+F25+F30+F35+F40+F45+F50+F55+F60+F65+F70+F75+F80+F85+F90+F95+F96+F97+F98+F99</f>
        <v>32971.77</v>
      </c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="60" zoomScaleNormal="60" zoomScalePageLayoutView="0" workbookViewId="0" topLeftCell="A1">
      <pane xSplit="1" ySplit="4" topLeftCell="B57" activePane="bottomRight" state="frozen"/>
      <selection pane="topLeft" activeCell="E77" sqref="E77"/>
      <selection pane="topRight" activeCell="E77" sqref="E77"/>
      <selection pane="bottomLeft" activeCell="E77" sqref="E77"/>
      <selection pane="bottomRight" activeCell="I94" sqref="I94"/>
    </sheetView>
  </sheetViews>
  <sheetFormatPr defaultColWidth="9.00390625" defaultRowHeight="12.75"/>
  <cols>
    <col min="1" max="1" width="59.125" style="0" customWidth="1"/>
    <col min="2" max="2" width="25.25390625" style="0" customWidth="1"/>
    <col min="3" max="6" width="25.25390625" style="3" customWidth="1"/>
    <col min="7" max="7" width="11.75390625" style="77" customWidth="1"/>
    <col min="8" max="8" width="27.00390625" style="77" customWidth="1"/>
    <col min="9" max="9" width="18.125" style="77" customWidth="1"/>
    <col min="10" max="16384" width="9.125" style="77" customWidth="1"/>
  </cols>
  <sheetData>
    <row r="1" spans="1:6" ht="23.25">
      <c r="A1" s="162" t="s">
        <v>32</v>
      </c>
      <c r="B1" s="162"/>
      <c r="C1" s="162"/>
      <c r="D1" s="162"/>
      <c r="E1" s="162"/>
      <c r="F1" s="162"/>
    </row>
    <row r="2" spans="1:6" s="83" customFormat="1" ht="23.25">
      <c r="A2" s="163" t="s">
        <v>49</v>
      </c>
      <c r="B2" s="163"/>
      <c r="C2" s="163"/>
      <c r="D2" s="164"/>
      <c r="E2" s="164"/>
      <c r="F2" s="164"/>
    </row>
    <row r="3" spans="1:6" ht="18.75" thickBot="1">
      <c r="A3" s="3"/>
      <c r="B3" s="3"/>
      <c r="F3" s="73" t="s">
        <v>31</v>
      </c>
    </row>
    <row r="4" spans="1:8" s="85" customFormat="1" ht="29.25" customHeight="1" thickBot="1">
      <c r="A4" s="43" t="s">
        <v>9</v>
      </c>
      <c r="B4" s="44"/>
      <c r="C4" s="45" t="s">
        <v>0</v>
      </c>
      <c r="D4" s="45" t="s">
        <v>1</v>
      </c>
      <c r="E4" s="45" t="s">
        <v>2</v>
      </c>
      <c r="F4" s="46" t="s">
        <v>3</v>
      </c>
      <c r="G4" s="7"/>
      <c r="H4" s="84"/>
    </row>
    <row r="5" spans="1:8" s="4" customFormat="1" ht="36.75" customHeight="1">
      <c r="A5" s="108" t="s">
        <v>57</v>
      </c>
      <c r="B5" s="128">
        <f>C5+D5+E5+F5</f>
        <v>77965.6974</v>
      </c>
      <c r="C5" s="139">
        <f>C6+C7</f>
        <v>35456.617999999995</v>
      </c>
      <c r="D5" s="139">
        <f>D6+D7</f>
        <v>1223.747</v>
      </c>
      <c r="E5" s="139">
        <f>E6+E7</f>
        <v>18696.6774</v>
      </c>
      <c r="F5" s="139">
        <f>F6+F7</f>
        <v>22588.655</v>
      </c>
      <c r="G5" s="13"/>
      <c r="H5" s="26"/>
    </row>
    <row r="6" spans="1:9" s="4" customFormat="1" ht="27" customHeight="1">
      <c r="A6" s="109" t="s">
        <v>13</v>
      </c>
      <c r="B6" s="8">
        <f aca="true" t="shared" si="0" ref="B6:B69">C6+D6+E6+F6</f>
        <v>62828.779</v>
      </c>
      <c r="C6" s="8">
        <f>35427.651</f>
        <v>35427.651</v>
      </c>
      <c r="D6" s="8">
        <v>1222.737</v>
      </c>
      <c r="E6" s="8">
        <v>17890.711</v>
      </c>
      <c r="F6" s="9">
        <v>8287.68</v>
      </c>
      <c r="G6" s="13"/>
      <c r="H6" s="26"/>
      <c r="I6" s="26"/>
    </row>
    <row r="7" spans="1:8" s="4" customFormat="1" ht="20.25" customHeight="1">
      <c r="A7" s="109" t="s">
        <v>10</v>
      </c>
      <c r="B7" s="8">
        <f t="shared" si="0"/>
        <v>15136.9184</v>
      </c>
      <c r="C7" s="8">
        <f>C8+C9</f>
        <v>28.967000000000002</v>
      </c>
      <c r="D7" s="20">
        <f>D8+D9</f>
        <v>1.01</v>
      </c>
      <c r="E7" s="20">
        <f>E8+E9</f>
        <v>805.9664</v>
      </c>
      <c r="F7" s="21">
        <f>F8+F9</f>
        <v>14300.975</v>
      </c>
      <c r="G7" s="13"/>
      <c r="H7" s="26"/>
    </row>
    <row r="8" spans="1:8" s="4" customFormat="1" ht="21.75" customHeight="1">
      <c r="A8" s="109" t="s">
        <v>11</v>
      </c>
      <c r="B8" s="8">
        <f t="shared" si="0"/>
        <v>4053.7473999999997</v>
      </c>
      <c r="C8" s="93">
        <v>10.614</v>
      </c>
      <c r="D8" s="93"/>
      <c r="E8" s="93">
        <v>93.8814</v>
      </c>
      <c r="F8" s="94">
        <v>3949.252</v>
      </c>
      <c r="G8" s="13"/>
      <c r="H8" s="26"/>
    </row>
    <row r="9" spans="1:8" s="4" customFormat="1" ht="24.75" customHeight="1">
      <c r="A9" s="109" t="s">
        <v>12</v>
      </c>
      <c r="B9" s="8">
        <f t="shared" si="0"/>
        <v>11083.171</v>
      </c>
      <c r="C9" s="93">
        <v>18.353</v>
      </c>
      <c r="D9" s="93">
        <v>1.01</v>
      </c>
      <c r="E9" s="93">
        <v>712.085</v>
      </c>
      <c r="F9" s="94">
        <v>10351.723</v>
      </c>
      <c r="G9" s="7"/>
      <c r="H9" s="40"/>
    </row>
    <row r="10" spans="1:8" s="4" customFormat="1" ht="47.25" customHeight="1">
      <c r="A10" s="110" t="s">
        <v>58</v>
      </c>
      <c r="B10" s="8">
        <f t="shared" si="0"/>
        <v>4694.616</v>
      </c>
      <c r="C10" s="20">
        <f>C11+C12</f>
        <v>641.83</v>
      </c>
      <c r="D10" s="20"/>
      <c r="E10" s="20">
        <f>E11+E12</f>
        <v>1595.726</v>
      </c>
      <c r="F10" s="21">
        <f>F11+F12</f>
        <v>2457.06</v>
      </c>
      <c r="G10" s="13"/>
      <c r="H10" s="40"/>
    </row>
    <row r="11" spans="1:8" s="4" customFormat="1" ht="21.75" customHeight="1">
      <c r="A11" s="109" t="s">
        <v>13</v>
      </c>
      <c r="B11" s="8">
        <f t="shared" si="0"/>
        <v>2868.371</v>
      </c>
      <c r="C11" s="8">
        <v>578.365</v>
      </c>
      <c r="D11" s="8"/>
      <c r="E11" s="8">
        <v>1334.142</v>
      </c>
      <c r="F11" s="9">
        <v>955.864</v>
      </c>
      <c r="G11" s="13"/>
      <c r="H11" s="40"/>
    </row>
    <row r="12" spans="1:8" s="4" customFormat="1" ht="19.5" customHeight="1">
      <c r="A12" s="109" t="s">
        <v>10</v>
      </c>
      <c r="B12" s="8">
        <f t="shared" si="0"/>
        <v>1826.245</v>
      </c>
      <c r="C12" s="20">
        <f>C13+C14</f>
        <v>63.465</v>
      </c>
      <c r="D12" s="8"/>
      <c r="E12" s="20">
        <f>E13+E14</f>
        <v>261.584</v>
      </c>
      <c r="F12" s="21">
        <f>F13+F14</f>
        <v>1501.196</v>
      </c>
      <c r="G12" s="13"/>
      <c r="H12" s="40"/>
    </row>
    <row r="13" spans="1:8" s="4" customFormat="1" ht="17.25" customHeight="1">
      <c r="A13" s="109" t="s">
        <v>11</v>
      </c>
      <c r="B13" s="8">
        <f t="shared" si="0"/>
        <v>1074.315</v>
      </c>
      <c r="C13" s="93"/>
      <c r="D13" s="93"/>
      <c r="E13" s="93">
        <v>50.32</v>
      </c>
      <c r="F13" s="94">
        <v>1023.995</v>
      </c>
      <c r="G13" s="13"/>
      <c r="H13" s="40"/>
    </row>
    <row r="14" spans="1:8" s="4" customFormat="1" ht="17.25" customHeight="1">
      <c r="A14" s="109" t="s">
        <v>12</v>
      </c>
      <c r="B14" s="8">
        <f t="shared" si="0"/>
        <v>751.9300000000001</v>
      </c>
      <c r="C14" s="93">
        <v>63.465</v>
      </c>
      <c r="D14" s="93"/>
      <c r="E14" s="93">
        <v>211.264</v>
      </c>
      <c r="F14" s="94">
        <v>477.201</v>
      </c>
      <c r="G14" s="13"/>
      <c r="H14" s="40"/>
    </row>
    <row r="15" spans="1:8" s="4" customFormat="1" ht="35.25" customHeight="1">
      <c r="A15" s="110" t="s">
        <v>6</v>
      </c>
      <c r="B15" s="8">
        <f t="shared" si="0"/>
        <v>1099.5529999999999</v>
      </c>
      <c r="C15" s="20">
        <f>C16+C17</f>
        <v>1099.5529999999999</v>
      </c>
      <c r="D15" s="8"/>
      <c r="E15" s="8"/>
      <c r="F15" s="9"/>
      <c r="G15" s="7"/>
      <c r="H15" s="28"/>
    </row>
    <row r="16" spans="1:8" s="4" customFormat="1" ht="19.5" customHeight="1">
      <c r="A16" s="109" t="s">
        <v>13</v>
      </c>
      <c r="B16" s="8">
        <f t="shared" si="0"/>
        <v>1099.223</v>
      </c>
      <c r="C16" s="8">
        <v>1099.223</v>
      </c>
      <c r="D16" s="8"/>
      <c r="E16" s="20"/>
      <c r="F16" s="21"/>
      <c r="G16" s="7"/>
      <c r="H16" s="28"/>
    </row>
    <row r="17" spans="1:8" s="4" customFormat="1" ht="18" customHeight="1">
      <c r="A17" s="109" t="s">
        <v>10</v>
      </c>
      <c r="B17" s="8">
        <f t="shared" si="0"/>
        <v>0.33</v>
      </c>
      <c r="C17" s="20">
        <f>C18+C19</f>
        <v>0.33</v>
      </c>
      <c r="D17" s="8"/>
      <c r="E17" s="20">
        <f>E18+E19</f>
        <v>0</v>
      </c>
      <c r="F17" s="21">
        <f>F18+F19</f>
        <v>0</v>
      </c>
      <c r="G17" s="7"/>
      <c r="H17" s="28"/>
    </row>
    <row r="18" spans="1:8" s="4" customFormat="1" ht="19.5" customHeight="1">
      <c r="A18" s="109" t="s">
        <v>11</v>
      </c>
      <c r="B18" s="8">
        <f t="shared" si="0"/>
        <v>0.33</v>
      </c>
      <c r="C18" s="93">
        <v>0.33</v>
      </c>
      <c r="D18" s="93"/>
      <c r="E18" s="93"/>
      <c r="F18" s="94"/>
      <c r="G18" s="7"/>
      <c r="H18" s="28"/>
    </row>
    <row r="19" spans="1:8" s="4" customFormat="1" ht="19.5" customHeight="1">
      <c r="A19" s="109" t="s">
        <v>12</v>
      </c>
      <c r="B19" s="8">
        <f t="shared" si="0"/>
        <v>0</v>
      </c>
      <c r="C19" s="93"/>
      <c r="D19" s="93"/>
      <c r="E19" s="93"/>
      <c r="F19" s="94"/>
      <c r="G19" s="7"/>
      <c r="H19" s="28"/>
    </row>
    <row r="20" spans="1:8" s="4" customFormat="1" ht="51" customHeight="1">
      <c r="A20" s="110" t="s">
        <v>59</v>
      </c>
      <c r="B20" s="8">
        <f t="shared" si="0"/>
        <v>364.649</v>
      </c>
      <c r="C20" s="20">
        <f>C21+C22</f>
        <v>9.8</v>
      </c>
      <c r="D20" s="20">
        <f>D21+D22</f>
        <v>257.772</v>
      </c>
      <c r="E20" s="20">
        <f>E21+E22</f>
        <v>19.14</v>
      </c>
      <c r="F20" s="21">
        <f>F21+F22</f>
        <v>77.937</v>
      </c>
      <c r="G20" s="13"/>
      <c r="H20" s="40"/>
    </row>
    <row r="21" spans="1:8" s="4" customFormat="1" ht="21.75" customHeight="1">
      <c r="A21" s="109" t="s">
        <v>13</v>
      </c>
      <c r="B21" s="8">
        <f t="shared" si="0"/>
        <v>348.289</v>
      </c>
      <c r="C21" s="8">
        <v>9.8</v>
      </c>
      <c r="D21" s="8">
        <v>257.772</v>
      </c>
      <c r="E21" s="8">
        <v>19.14</v>
      </c>
      <c r="F21" s="9">
        <v>61.577</v>
      </c>
      <c r="G21" s="13"/>
      <c r="H21" s="40"/>
    </row>
    <row r="22" spans="1:8" s="4" customFormat="1" ht="21" customHeight="1">
      <c r="A22" s="109" t="s">
        <v>10</v>
      </c>
      <c r="B22" s="8">
        <f t="shared" si="0"/>
        <v>16.36</v>
      </c>
      <c r="C22" s="8"/>
      <c r="D22" s="8"/>
      <c r="E22" s="20">
        <f>E23+E24</f>
        <v>0</v>
      </c>
      <c r="F22" s="21">
        <f>F23+F24</f>
        <v>16.36</v>
      </c>
      <c r="G22" s="13"/>
      <c r="H22" s="40"/>
    </row>
    <row r="23" spans="1:8" s="4" customFormat="1" ht="21.75" customHeight="1">
      <c r="A23" s="109" t="s">
        <v>11</v>
      </c>
      <c r="B23" s="8">
        <f t="shared" si="0"/>
        <v>16.36</v>
      </c>
      <c r="C23" s="93"/>
      <c r="D23" s="93"/>
      <c r="E23" s="93"/>
      <c r="F23" s="94">
        <v>16.36</v>
      </c>
      <c r="G23" s="13"/>
      <c r="H23" s="40"/>
    </row>
    <row r="24" spans="1:8" s="4" customFormat="1" ht="21" customHeight="1">
      <c r="A24" s="109" t="s">
        <v>12</v>
      </c>
      <c r="B24" s="8">
        <f t="shared" si="0"/>
        <v>0</v>
      </c>
      <c r="C24" s="93"/>
      <c r="D24" s="93"/>
      <c r="E24" s="93"/>
      <c r="F24" s="94"/>
      <c r="G24" s="13"/>
      <c r="H24" s="40"/>
    </row>
    <row r="25" spans="1:8" s="4" customFormat="1" ht="41.25" customHeight="1">
      <c r="A25" s="110" t="s">
        <v>7</v>
      </c>
      <c r="B25" s="8">
        <f t="shared" si="0"/>
        <v>12189.007000000001</v>
      </c>
      <c r="C25" s="20">
        <f>C26+C27</f>
        <v>7282.328</v>
      </c>
      <c r="D25" s="20"/>
      <c r="E25" s="20">
        <f>E26+E27</f>
        <v>1655.3010000000002</v>
      </c>
      <c r="F25" s="21">
        <f>F26+F27</f>
        <v>3251.378</v>
      </c>
      <c r="G25" s="13"/>
      <c r="H25" s="40"/>
    </row>
    <row r="26" spans="1:8" s="4" customFormat="1" ht="19.5" customHeight="1">
      <c r="A26" s="109" t="s">
        <v>13</v>
      </c>
      <c r="B26" s="8">
        <f t="shared" si="0"/>
        <v>9859.511</v>
      </c>
      <c r="C26" s="8">
        <v>7282.328</v>
      </c>
      <c r="D26" s="8"/>
      <c r="E26" s="20">
        <v>1614.678</v>
      </c>
      <c r="F26" s="21">
        <v>962.505</v>
      </c>
      <c r="G26" s="13"/>
      <c r="H26" s="40"/>
    </row>
    <row r="27" spans="1:8" s="4" customFormat="1" ht="24.75" customHeight="1">
      <c r="A27" s="109" t="s">
        <v>10</v>
      </c>
      <c r="B27" s="8">
        <f t="shared" si="0"/>
        <v>2329.496</v>
      </c>
      <c r="C27" s="8"/>
      <c r="D27" s="8"/>
      <c r="E27" s="20">
        <f>E28+E29</f>
        <v>40.623</v>
      </c>
      <c r="F27" s="21">
        <f>F28+F29</f>
        <v>2288.873</v>
      </c>
      <c r="G27" s="13"/>
      <c r="H27" s="40"/>
    </row>
    <row r="28" spans="1:8" s="4" customFormat="1" ht="25.5" customHeight="1">
      <c r="A28" s="109" t="s">
        <v>11</v>
      </c>
      <c r="B28" s="8">
        <f t="shared" si="0"/>
        <v>2301.759</v>
      </c>
      <c r="C28" s="93"/>
      <c r="D28" s="93"/>
      <c r="E28" s="93">
        <v>40.623</v>
      </c>
      <c r="F28" s="94">
        <f>2191.918+69.218</f>
        <v>2261.136</v>
      </c>
      <c r="G28" s="13"/>
      <c r="H28" s="40"/>
    </row>
    <row r="29" spans="1:8" s="4" customFormat="1" ht="20.25" customHeight="1">
      <c r="A29" s="109" t="s">
        <v>12</v>
      </c>
      <c r="B29" s="8">
        <f t="shared" si="0"/>
        <v>27.737</v>
      </c>
      <c r="C29" s="93"/>
      <c r="D29" s="93"/>
      <c r="E29" s="93"/>
      <c r="F29" s="94">
        <v>27.737</v>
      </c>
      <c r="G29" s="13"/>
      <c r="H29" s="40"/>
    </row>
    <row r="30" spans="1:8" s="4" customFormat="1" ht="50.25" customHeight="1">
      <c r="A30" s="110" t="s">
        <v>60</v>
      </c>
      <c r="B30" s="8">
        <f t="shared" si="0"/>
        <v>132.788</v>
      </c>
      <c r="C30" s="20"/>
      <c r="D30" s="20"/>
      <c r="E30" s="20">
        <f>E31+E32</f>
        <v>88.947</v>
      </c>
      <c r="F30" s="21">
        <f>F31+F32</f>
        <v>43.841</v>
      </c>
      <c r="G30" s="7"/>
      <c r="H30" s="28"/>
    </row>
    <row r="31" spans="1:8" s="4" customFormat="1" ht="22.5" customHeight="1">
      <c r="A31" s="109" t="s">
        <v>13</v>
      </c>
      <c r="B31" s="8">
        <f t="shared" si="0"/>
        <v>105.575</v>
      </c>
      <c r="C31" s="8"/>
      <c r="D31" s="8"/>
      <c r="E31" s="20">
        <v>88.947</v>
      </c>
      <c r="F31" s="21">
        <v>16.628</v>
      </c>
      <c r="G31" s="7"/>
      <c r="H31" s="28"/>
    </row>
    <row r="32" spans="1:8" s="4" customFormat="1" ht="24.75" customHeight="1">
      <c r="A32" s="109" t="s">
        <v>10</v>
      </c>
      <c r="B32" s="8">
        <f t="shared" si="0"/>
        <v>27.213</v>
      </c>
      <c r="C32" s="8"/>
      <c r="D32" s="8"/>
      <c r="E32" s="20">
        <f>E33+E34</f>
        <v>0</v>
      </c>
      <c r="F32" s="21">
        <f>F33+F34</f>
        <v>27.213</v>
      </c>
      <c r="G32" s="7"/>
      <c r="H32" s="28"/>
    </row>
    <row r="33" spans="1:8" s="4" customFormat="1" ht="18" customHeight="1">
      <c r="A33" s="109" t="s">
        <v>11</v>
      </c>
      <c r="B33" s="8">
        <f t="shared" si="0"/>
        <v>21.725</v>
      </c>
      <c r="C33" s="93"/>
      <c r="D33" s="93"/>
      <c r="E33" s="93"/>
      <c r="F33" s="94">
        <v>21.725</v>
      </c>
      <c r="G33" s="7"/>
      <c r="H33" s="28"/>
    </row>
    <row r="34" spans="1:8" s="4" customFormat="1" ht="18" customHeight="1">
      <c r="A34" s="109" t="s">
        <v>12</v>
      </c>
      <c r="B34" s="8">
        <f t="shared" si="0"/>
        <v>5.488</v>
      </c>
      <c r="C34" s="93"/>
      <c r="D34" s="93"/>
      <c r="E34" s="93"/>
      <c r="F34" s="94">
        <v>5.488</v>
      </c>
      <c r="G34" s="7"/>
      <c r="H34" s="28"/>
    </row>
    <row r="35" spans="1:8" s="4" customFormat="1" ht="25.5" customHeight="1">
      <c r="A35" s="49" t="s">
        <v>61</v>
      </c>
      <c r="B35" s="8">
        <f t="shared" si="0"/>
        <v>78.591</v>
      </c>
      <c r="C35" s="20">
        <f>C36+C37</f>
        <v>0</v>
      </c>
      <c r="D35" s="95"/>
      <c r="E35" s="20">
        <f>E36+E37</f>
        <v>0</v>
      </c>
      <c r="F35" s="21">
        <f>F36+F37</f>
        <v>78.591</v>
      </c>
      <c r="G35" s="7"/>
      <c r="H35" s="28"/>
    </row>
    <row r="36" spans="1:8" s="4" customFormat="1" ht="23.25" customHeight="1">
      <c r="A36" s="109" t="s">
        <v>13</v>
      </c>
      <c r="B36" s="8">
        <f t="shared" si="0"/>
        <v>65.853</v>
      </c>
      <c r="C36" s="8"/>
      <c r="D36" s="8"/>
      <c r="E36" s="8"/>
      <c r="F36" s="9">
        <v>65.853</v>
      </c>
      <c r="G36" s="7"/>
      <c r="H36" s="28"/>
    </row>
    <row r="37" spans="1:8" s="4" customFormat="1" ht="23.25" customHeight="1">
      <c r="A37" s="109" t="s">
        <v>10</v>
      </c>
      <c r="B37" s="8">
        <f t="shared" si="0"/>
        <v>12.738</v>
      </c>
      <c r="C37" s="20">
        <f>C38+C39</f>
        <v>0</v>
      </c>
      <c r="D37" s="8"/>
      <c r="E37" s="20">
        <f>E38+E39</f>
        <v>0</v>
      </c>
      <c r="F37" s="21">
        <f>F38+F39</f>
        <v>12.738</v>
      </c>
      <c r="G37" s="7"/>
      <c r="H37" s="28"/>
    </row>
    <row r="38" spans="1:8" s="4" customFormat="1" ht="23.25" customHeight="1">
      <c r="A38" s="109" t="s">
        <v>11</v>
      </c>
      <c r="B38" s="8">
        <f t="shared" si="0"/>
        <v>0</v>
      </c>
      <c r="C38" s="95"/>
      <c r="D38" s="95"/>
      <c r="E38" s="95"/>
      <c r="F38" s="12"/>
      <c r="G38" s="7"/>
      <c r="H38" s="28"/>
    </row>
    <row r="39" spans="1:8" s="4" customFormat="1" ht="23.25" customHeight="1">
      <c r="A39" s="109" t="s">
        <v>12</v>
      </c>
      <c r="B39" s="8">
        <f t="shared" si="0"/>
        <v>12.738</v>
      </c>
      <c r="C39" s="95"/>
      <c r="D39" s="95"/>
      <c r="E39" s="95"/>
      <c r="F39" s="12">
        <v>12.738</v>
      </c>
      <c r="G39" s="7"/>
      <c r="H39" s="28"/>
    </row>
    <row r="40" spans="1:9" s="4" customFormat="1" ht="42" customHeight="1">
      <c r="A40" s="110" t="s">
        <v>26</v>
      </c>
      <c r="B40" s="8">
        <f t="shared" si="0"/>
        <v>61.931</v>
      </c>
      <c r="C40" s="95">
        <f>C41+C42</f>
        <v>0.727</v>
      </c>
      <c r="D40" s="95"/>
      <c r="E40" s="95">
        <f>E41+E42</f>
        <v>61.204</v>
      </c>
      <c r="F40" s="21"/>
      <c r="G40" s="7"/>
      <c r="H40" s="40"/>
      <c r="I40" s="7"/>
    </row>
    <row r="41" spans="1:8" s="4" customFormat="1" ht="19.5" customHeight="1">
      <c r="A41" s="109" t="s">
        <v>13</v>
      </c>
      <c r="B41" s="8">
        <f t="shared" si="0"/>
        <v>61.931</v>
      </c>
      <c r="C41" s="8">
        <v>0.727</v>
      </c>
      <c r="D41" s="8"/>
      <c r="E41" s="8">
        <v>61.204</v>
      </c>
      <c r="F41" s="9"/>
      <c r="G41" s="7"/>
      <c r="H41" s="40"/>
    </row>
    <row r="42" spans="1:8" s="4" customFormat="1" ht="19.5" customHeight="1">
      <c r="A42" s="109" t="s">
        <v>10</v>
      </c>
      <c r="B42" s="8">
        <f t="shared" si="0"/>
        <v>0</v>
      </c>
      <c r="C42" s="8"/>
      <c r="D42" s="8"/>
      <c r="E42" s="20">
        <f>E43+E44</f>
        <v>0</v>
      </c>
      <c r="F42" s="21">
        <f>F43+F44</f>
        <v>0</v>
      </c>
      <c r="G42" s="7"/>
      <c r="H42" s="40"/>
    </row>
    <row r="43" spans="1:8" s="4" customFormat="1" ht="19.5" customHeight="1">
      <c r="A43" s="109" t="s">
        <v>11</v>
      </c>
      <c r="B43" s="8">
        <f t="shared" si="0"/>
        <v>0</v>
      </c>
      <c r="C43" s="95"/>
      <c r="D43" s="95"/>
      <c r="E43" s="95"/>
      <c r="F43" s="12"/>
      <c r="G43" s="7"/>
      <c r="H43" s="40"/>
    </row>
    <row r="44" spans="1:8" s="4" customFormat="1" ht="19.5" customHeight="1">
      <c r="A44" s="109" t="s">
        <v>12</v>
      </c>
      <c r="B44" s="8">
        <f t="shared" si="0"/>
        <v>0</v>
      </c>
      <c r="C44" s="95"/>
      <c r="D44" s="95"/>
      <c r="E44" s="95"/>
      <c r="F44" s="12"/>
      <c r="G44" s="7"/>
      <c r="H44" s="40"/>
    </row>
    <row r="45" spans="1:8" s="4" customFormat="1" ht="24.75" customHeight="1">
      <c r="A45" s="111" t="s">
        <v>29</v>
      </c>
      <c r="B45" s="8">
        <f t="shared" si="0"/>
        <v>469.20899999999995</v>
      </c>
      <c r="C45" s="10"/>
      <c r="D45" s="8"/>
      <c r="E45" s="8">
        <f>E46+E47</f>
        <v>391.864</v>
      </c>
      <c r="F45" s="9">
        <f>F46+F47</f>
        <v>77.345</v>
      </c>
      <c r="G45" s="13"/>
      <c r="H45" s="26"/>
    </row>
    <row r="46" spans="1:8" s="4" customFormat="1" ht="24.75" customHeight="1">
      <c r="A46" s="109" t="s">
        <v>13</v>
      </c>
      <c r="B46" s="8">
        <f t="shared" si="0"/>
        <v>469.20899999999995</v>
      </c>
      <c r="C46" s="8"/>
      <c r="D46" s="8"/>
      <c r="E46" s="20">
        <v>391.864</v>
      </c>
      <c r="F46" s="21">
        <v>77.345</v>
      </c>
      <c r="G46" s="13"/>
      <c r="H46" s="26"/>
    </row>
    <row r="47" spans="1:8" s="4" customFormat="1" ht="24.75" customHeight="1">
      <c r="A47" s="109" t="s">
        <v>10</v>
      </c>
      <c r="B47" s="8">
        <f t="shared" si="0"/>
        <v>0</v>
      </c>
      <c r="C47" s="8"/>
      <c r="D47" s="8"/>
      <c r="E47" s="20">
        <f>E48+E49</f>
        <v>0</v>
      </c>
      <c r="F47" s="21">
        <f>F48+F49</f>
        <v>0</v>
      </c>
      <c r="G47" s="13"/>
      <c r="H47" s="26"/>
    </row>
    <row r="48" spans="1:8" s="4" customFormat="1" ht="24.75" customHeight="1">
      <c r="A48" s="109" t="s">
        <v>11</v>
      </c>
      <c r="B48" s="8">
        <f t="shared" si="0"/>
        <v>0</v>
      </c>
      <c r="C48" s="10"/>
      <c r="D48" s="8"/>
      <c r="E48" s="10"/>
      <c r="F48" s="17"/>
      <c r="G48" s="13"/>
      <c r="H48" s="26"/>
    </row>
    <row r="49" spans="1:8" s="4" customFormat="1" ht="24.75" customHeight="1">
      <c r="A49" s="109" t="s">
        <v>12</v>
      </c>
      <c r="B49" s="8">
        <f t="shared" si="0"/>
        <v>0</v>
      </c>
      <c r="C49" s="10"/>
      <c r="D49" s="8"/>
      <c r="E49" s="10"/>
      <c r="F49" s="17"/>
      <c r="G49" s="13"/>
      <c r="H49" s="26"/>
    </row>
    <row r="50" spans="1:8" s="4" customFormat="1" ht="24.75" customHeight="1">
      <c r="A50" s="111" t="s">
        <v>4</v>
      </c>
      <c r="B50" s="8">
        <f t="shared" si="0"/>
        <v>688.866</v>
      </c>
      <c r="C50" s="95">
        <f>C51+C52</f>
        <v>688.866</v>
      </c>
      <c r="D50" s="8"/>
      <c r="E50" s="8"/>
      <c r="F50" s="9"/>
      <c r="G50" s="13"/>
      <c r="H50" s="26"/>
    </row>
    <row r="51" spans="1:8" s="4" customFormat="1" ht="24.75" customHeight="1">
      <c r="A51" s="109" t="s">
        <v>13</v>
      </c>
      <c r="B51" s="8">
        <f t="shared" si="0"/>
        <v>688.866</v>
      </c>
      <c r="C51" s="20">
        <v>688.866</v>
      </c>
      <c r="D51" s="8"/>
      <c r="E51" s="20">
        <f>E50-E52</f>
        <v>0</v>
      </c>
      <c r="F51" s="21">
        <f>F50-F52</f>
        <v>0</v>
      </c>
      <c r="G51" s="13"/>
      <c r="H51" s="26"/>
    </row>
    <row r="52" spans="1:8" s="4" customFormat="1" ht="24.75" customHeight="1">
      <c r="A52" s="109" t="s">
        <v>10</v>
      </c>
      <c r="B52" s="8">
        <f t="shared" si="0"/>
        <v>0</v>
      </c>
      <c r="C52" s="20">
        <f>C53+C54</f>
        <v>0</v>
      </c>
      <c r="D52" s="8"/>
      <c r="E52" s="20">
        <f>E53+E54</f>
        <v>0</v>
      </c>
      <c r="F52" s="21">
        <f>F53+F54</f>
        <v>0</v>
      </c>
      <c r="G52" s="13"/>
      <c r="H52" s="26"/>
    </row>
    <row r="53" spans="1:8" s="4" customFormat="1" ht="24.75" customHeight="1">
      <c r="A53" s="109" t="s">
        <v>11</v>
      </c>
      <c r="B53" s="8">
        <f t="shared" si="0"/>
        <v>0</v>
      </c>
      <c r="C53" s="93"/>
      <c r="D53" s="8"/>
      <c r="E53" s="8"/>
      <c r="F53" s="9"/>
      <c r="G53" s="13"/>
      <c r="H53" s="26"/>
    </row>
    <row r="54" spans="1:8" s="4" customFormat="1" ht="24.75" customHeight="1">
      <c r="A54" s="109" t="s">
        <v>12</v>
      </c>
      <c r="B54" s="8">
        <f t="shared" si="0"/>
        <v>0</v>
      </c>
      <c r="C54" s="93"/>
      <c r="D54" s="8"/>
      <c r="E54" s="8"/>
      <c r="F54" s="9"/>
      <c r="G54" s="13"/>
      <c r="H54" s="26"/>
    </row>
    <row r="55" spans="1:8" s="4" customFormat="1" ht="50.25" customHeight="1">
      <c r="A55" s="110" t="s">
        <v>62</v>
      </c>
      <c r="B55" s="8">
        <f t="shared" si="0"/>
        <v>669.3720000000001</v>
      </c>
      <c r="C55" s="20">
        <f>C56+C57</f>
        <v>0</v>
      </c>
      <c r="D55" s="20">
        <f>D56+D57</f>
        <v>0</v>
      </c>
      <c r="E55" s="20">
        <f>E56+E57</f>
        <v>264.946</v>
      </c>
      <c r="F55" s="21">
        <f>F56+F57</f>
        <v>404.42600000000004</v>
      </c>
      <c r="G55" s="13"/>
      <c r="H55" s="26"/>
    </row>
    <row r="56" spans="1:8" s="4" customFormat="1" ht="26.25" customHeight="1">
      <c r="A56" s="109" t="s">
        <v>13</v>
      </c>
      <c r="B56" s="8">
        <f t="shared" si="0"/>
        <v>372.245</v>
      </c>
      <c r="C56" s="20"/>
      <c r="D56" s="20"/>
      <c r="E56" s="20">
        <v>264.946</v>
      </c>
      <c r="F56" s="21">
        <v>107.299</v>
      </c>
      <c r="G56" s="13"/>
      <c r="H56" s="26"/>
    </row>
    <row r="57" spans="1:8" s="4" customFormat="1" ht="26.25" customHeight="1">
      <c r="A57" s="109" t="s">
        <v>10</v>
      </c>
      <c r="B57" s="8">
        <f t="shared" si="0"/>
        <v>297.127</v>
      </c>
      <c r="C57" s="20">
        <f>C58+C59</f>
        <v>0</v>
      </c>
      <c r="D57" s="20">
        <f>D58+D59</f>
        <v>0</v>
      </c>
      <c r="E57" s="20">
        <f>E58+E59</f>
        <v>0</v>
      </c>
      <c r="F57" s="21">
        <f>F58+F59</f>
        <v>297.127</v>
      </c>
      <c r="G57" s="13"/>
      <c r="H57" s="26"/>
    </row>
    <row r="58" spans="1:8" s="4" customFormat="1" ht="26.25" customHeight="1">
      <c r="A58" s="109" t="s">
        <v>11</v>
      </c>
      <c r="B58" s="8">
        <f t="shared" si="0"/>
        <v>258.411</v>
      </c>
      <c r="C58" s="93"/>
      <c r="D58" s="8"/>
      <c r="E58" s="8"/>
      <c r="F58" s="9">
        <v>258.411</v>
      </c>
      <c r="G58" s="13"/>
      <c r="H58" s="26"/>
    </row>
    <row r="59" spans="1:8" s="4" customFormat="1" ht="26.25" customHeight="1">
      <c r="A59" s="109" t="s">
        <v>12</v>
      </c>
      <c r="B59" s="8">
        <f t="shared" si="0"/>
        <v>38.716</v>
      </c>
      <c r="C59" s="93"/>
      <c r="D59" s="8"/>
      <c r="E59" s="8"/>
      <c r="F59" s="9">
        <v>38.716</v>
      </c>
      <c r="G59" s="13"/>
      <c r="H59" s="26"/>
    </row>
    <row r="60" spans="1:8" s="4" customFormat="1" ht="24.75" customHeight="1">
      <c r="A60" s="110" t="s">
        <v>28</v>
      </c>
      <c r="B60" s="8">
        <f t="shared" si="0"/>
        <v>2069.75</v>
      </c>
      <c r="C60" s="8">
        <f>C61+C62</f>
        <v>2062.75</v>
      </c>
      <c r="D60" s="8"/>
      <c r="E60" s="8">
        <f>E61+E62</f>
        <v>0</v>
      </c>
      <c r="F60" s="9">
        <f>F61+F62</f>
        <v>7</v>
      </c>
      <c r="G60" s="7"/>
      <c r="H60" s="26"/>
    </row>
    <row r="61" spans="1:8" s="4" customFormat="1" ht="21.75" customHeight="1">
      <c r="A61" s="109" t="s">
        <v>13</v>
      </c>
      <c r="B61" s="8">
        <f t="shared" si="0"/>
        <v>2069.75</v>
      </c>
      <c r="C61" s="113">
        <v>2062.75</v>
      </c>
      <c r="D61" s="113"/>
      <c r="E61" s="113"/>
      <c r="F61" s="114">
        <v>7</v>
      </c>
      <c r="G61" s="7"/>
      <c r="H61" s="36"/>
    </row>
    <row r="62" spans="1:8" s="4" customFormat="1" ht="16.5" customHeight="1">
      <c r="A62" s="109" t="s">
        <v>10</v>
      </c>
      <c r="B62" s="8">
        <f t="shared" si="0"/>
        <v>0</v>
      </c>
      <c r="C62" s="93"/>
      <c r="D62" s="8"/>
      <c r="E62" s="8">
        <f>E64+E63</f>
        <v>0</v>
      </c>
      <c r="F62" s="9">
        <f>F64+F63</f>
        <v>0</v>
      </c>
      <c r="G62" s="7"/>
      <c r="H62" s="36"/>
    </row>
    <row r="63" spans="1:8" s="4" customFormat="1" ht="18" customHeight="1">
      <c r="A63" s="109" t="s">
        <v>11</v>
      </c>
      <c r="B63" s="8">
        <f t="shared" si="0"/>
        <v>0</v>
      </c>
      <c r="C63" s="93"/>
      <c r="D63" s="8"/>
      <c r="E63" s="10"/>
      <c r="F63" s="17"/>
      <c r="G63" s="7"/>
      <c r="H63" s="36"/>
    </row>
    <row r="64" spans="1:8" s="4" customFormat="1" ht="18" customHeight="1">
      <c r="A64" s="109" t="s">
        <v>12</v>
      </c>
      <c r="B64" s="8">
        <f t="shared" si="0"/>
        <v>0</v>
      </c>
      <c r="C64" s="93"/>
      <c r="D64" s="8"/>
      <c r="E64" s="10"/>
      <c r="F64" s="17"/>
      <c r="G64" s="7"/>
      <c r="H64" s="36"/>
    </row>
    <row r="65" spans="1:8" s="4" customFormat="1" ht="24.75" customHeight="1">
      <c r="A65" s="110" t="s">
        <v>63</v>
      </c>
      <c r="B65" s="8">
        <f t="shared" si="0"/>
        <v>0</v>
      </c>
      <c r="C65" s="8">
        <f>C66+C67</f>
        <v>0</v>
      </c>
      <c r="D65" s="8"/>
      <c r="E65" s="8">
        <f>E66+E67</f>
        <v>0</v>
      </c>
      <c r="F65" s="9">
        <f>F66+F67</f>
        <v>0</v>
      </c>
      <c r="G65" s="7"/>
      <c r="H65" s="36"/>
    </row>
    <row r="66" spans="1:8" s="4" customFormat="1" ht="21.75" customHeight="1">
      <c r="A66" s="109" t="s">
        <v>13</v>
      </c>
      <c r="B66" s="8">
        <f t="shared" si="0"/>
        <v>0</v>
      </c>
      <c r="C66" s="113"/>
      <c r="D66" s="113"/>
      <c r="E66" s="113"/>
      <c r="F66" s="114"/>
      <c r="G66" s="7"/>
      <c r="H66" s="36"/>
    </row>
    <row r="67" spans="1:8" s="4" customFormat="1" ht="18" customHeight="1">
      <c r="A67" s="109" t="s">
        <v>10</v>
      </c>
      <c r="B67" s="8">
        <f t="shared" si="0"/>
        <v>0</v>
      </c>
      <c r="C67" s="93"/>
      <c r="D67" s="8"/>
      <c r="E67" s="8">
        <f>E69+E68</f>
        <v>0</v>
      </c>
      <c r="F67" s="9">
        <f>F69+F68</f>
        <v>0</v>
      </c>
      <c r="G67" s="7"/>
      <c r="H67" s="36"/>
    </row>
    <row r="68" spans="1:8" s="4" customFormat="1" ht="19.5" customHeight="1">
      <c r="A68" s="109" t="s">
        <v>11</v>
      </c>
      <c r="B68" s="8">
        <f t="shared" si="0"/>
        <v>0</v>
      </c>
      <c r="C68" s="93"/>
      <c r="D68" s="8"/>
      <c r="E68" s="10"/>
      <c r="F68" s="17"/>
      <c r="G68" s="7"/>
      <c r="H68" s="36"/>
    </row>
    <row r="69" spans="1:8" s="4" customFormat="1" ht="19.5" customHeight="1">
      <c r="A69" s="109" t="s">
        <v>12</v>
      </c>
      <c r="B69" s="8">
        <f t="shared" si="0"/>
        <v>0</v>
      </c>
      <c r="C69" s="93"/>
      <c r="D69" s="8"/>
      <c r="E69" s="10"/>
      <c r="F69" s="17"/>
      <c r="G69" s="7"/>
      <c r="H69" s="36"/>
    </row>
    <row r="70" spans="1:8" s="7" customFormat="1" ht="25.5" customHeight="1">
      <c r="A70" s="110" t="s">
        <v>25</v>
      </c>
      <c r="B70" s="8">
        <f aca="true" t="shared" si="1" ref="B70:B94">C70+D70+E70+F70</f>
        <v>54.541</v>
      </c>
      <c r="C70" s="93"/>
      <c r="D70" s="8"/>
      <c r="E70" s="8">
        <f>E71+E72</f>
        <v>0</v>
      </c>
      <c r="F70" s="9">
        <f>F71+F72</f>
        <v>54.541</v>
      </c>
      <c r="H70" s="28"/>
    </row>
    <row r="71" spans="1:6" ht="18.75">
      <c r="A71" s="109" t="s">
        <v>13</v>
      </c>
      <c r="B71" s="8">
        <f t="shared" si="1"/>
        <v>6.858</v>
      </c>
      <c r="C71" s="93"/>
      <c r="D71" s="8"/>
      <c r="E71" s="8"/>
      <c r="F71" s="115">
        <v>6.858</v>
      </c>
    </row>
    <row r="72" spans="1:6" ht="18.75">
      <c r="A72" s="109" t="s">
        <v>10</v>
      </c>
      <c r="B72" s="8">
        <f t="shared" si="1"/>
        <v>47.683</v>
      </c>
      <c r="C72" s="93"/>
      <c r="D72" s="8"/>
      <c r="E72" s="8">
        <f>E74+E73</f>
        <v>0</v>
      </c>
      <c r="F72" s="9">
        <f>F74+F73</f>
        <v>47.683</v>
      </c>
    </row>
    <row r="73" spans="1:8" s="81" customFormat="1" ht="23.25" customHeight="1">
      <c r="A73" s="109" t="s">
        <v>11</v>
      </c>
      <c r="B73" s="8">
        <f t="shared" si="1"/>
        <v>47.683</v>
      </c>
      <c r="C73" s="93"/>
      <c r="D73" s="8"/>
      <c r="E73" s="10"/>
      <c r="F73" s="17">
        <v>47.683</v>
      </c>
      <c r="G73" s="7"/>
      <c r="H73" s="78"/>
    </row>
    <row r="74" spans="1:8" s="81" customFormat="1" ht="23.25" customHeight="1">
      <c r="A74" s="109" t="s">
        <v>12</v>
      </c>
      <c r="B74" s="8">
        <f t="shared" si="1"/>
        <v>0</v>
      </c>
      <c r="C74" s="93"/>
      <c r="D74" s="8"/>
      <c r="E74" s="10"/>
      <c r="F74" s="17"/>
      <c r="G74" s="7"/>
      <c r="H74" s="79"/>
    </row>
    <row r="75" spans="1:8" s="81" customFormat="1" ht="42" customHeight="1">
      <c r="A75" s="110" t="s">
        <v>64</v>
      </c>
      <c r="B75" s="8">
        <f t="shared" si="1"/>
        <v>237.353</v>
      </c>
      <c r="C75" s="93"/>
      <c r="D75" s="8"/>
      <c r="E75" s="8">
        <f>E76+E77</f>
        <v>12.251</v>
      </c>
      <c r="F75" s="9">
        <f>F76+F77</f>
        <v>225.102</v>
      </c>
      <c r="G75" s="7"/>
      <c r="H75" s="80"/>
    </row>
    <row r="76" spans="1:8" s="81" customFormat="1" ht="21" customHeight="1">
      <c r="A76" s="109" t="s">
        <v>13</v>
      </c>
      <c r="B76" s="8">
        <f t="shared" si="1"/>
        <v>66.178</v>
      </c>
      <c r="C76" s="93"/>
      <c r="D76" s="8"/>
      <c r="E76" s="138">
        <v>12.251</v>
      </c>
      <c r="F76" s="115">
        <v>53.927</v>
      </c>
      <c r="G76" s="58"/>
      <c r="H76" s="80"/>
    </row>
    <row r="77" spans="1:8" s="81" customFormat="1" ht="23.25" customHeight="1">
      <c r="A77" s="109" t="s">
        <v>10</v>
      </c>
      <c r="B77" s="8">
        <f t="shared" si="1"/>
        <v>171.175</v>
      </c>
      <c r="C77" s="93"/>
      <c r="D77" s="8"/>
      <c r="E77" s="8">
        <f>E79+E78</f>
        <v>0</v>
      </c>
      <c r="F77" s="9">
        <f>F79+F78</f>
        <v>171.175</v>
      </c>
      <c r="G77" s="7"/>
      <c r="H77" s="36"/>
    </row>
    <row r="78" spans="1:8" s="81" customFormat="1" ht="23.25" customHeight="1">
      <c r="A78" s="109" t="s">
        <v>11</v>
      </c>
      <c r="B78" s="8">
        <f t="shared" si="1"/>
        <v>0</v>
      </c>
      <c r="C78" s="93"/>
      <c r="D78" s="8"/>
      <c r="E78" s="8"/>
      <c r="F78" s="9"/>
      <c r="G78" s="59"/>
      <c r="H78" s="36"/>
    </row>
    <row r="79" spans="1:8" s="81" customFormat="1" ht="23.25" customHeight="1">
      <c r="A79" s="109" t="s">
        <v>12</v>
      </c>
      <c r="B79" s="8">
        <f t="shared" si="1"/>
        <v>171.175</v>
      </c>
      <c r="C79" s="93"/>
      <c r="D79" s="8"/>
      <c r="E79" s="8"/>
      <c r="F79" s="9">
        <v>171.175</v>
      </c>
      <c r="G79" s="7"/>
      <c r="H79" s="36"/>
    </row>
    <row r="80" spans="1:8" s="81" customFormat="1" ht="23.25" customHeight="1">
      <c r="A80" s="110" t="s">
        <v>8</v>
      </c>
      <c r="B80" s="8">
        <f t="shared" si="1"/>
        <v>987.6899999999999</v>
      </c>
      <c r="C80" s="20"/>
      <c r="D80" s="8"/>
      <c r="E80" s="20">
        <f>E81+E82</f>
        <v>522.434</v>
      </c>
      <c r="F80" s="21">
        <f>F81+F82</f>
        <v>465.256</v>
      </c>
      <c r="G80" s="7"/>
      <c r="H80" s="36"/>
    </row>
    <row r="81" spans="1:8" s="81" customFormat="1" ht="33" customHeight="1">
      <c r="A81" s="109" t="s">
        <v>13</v>
      </c>
      <c r="B81" s="8">
        <f t="shared" si="1"/>
        <v>498.39099999999996</v>
      </c>
      <c r="C81" s="8"/>
      <c r="D81" s="8"/>
      <c r="E81" s="20">
        <v>391.674</v>
      </c>
      <c r="F81" s="21">
        <v>106.717</v>
      </c>
      <c r="G81" s="7"/>
      <c r="H81" s="28"/>
    </row>
    <row r="82" spans="1:6" s="81" customFormat="1" ht="38.25" customHeight="1">
      <c r="A82" s="109" t="s">
        <v>10</v>
      </c>
      <c r="B82" s="8">
        <f t="shared" si="1"/>
        <v>489.299</v>
      </c>
      <c r="C82" s="8"/>
      <c r="D82" s="8"/>
      <c r="E82" s="20">
        <f>E83+E84</f>
        <v>130.76</v>
      </c>
      <c r="F82" s="21">
        <f>F83+F84</f>
        <v>358.539</v>
      </c>
    </row>
    <row r="83" spans="1:6" ht="18.75">
      <c r="A83" s="109" t="s">
        <v>11</v>
      </c>
      <c r="B83" s="8">
        <f t="shared" si="1"/>
        <v>402.602</v>
      </c>
      <c r="C83" s="8"/>
      <c r="D83" s="8"/>
      <c r="E83" s="93">
        <v>128.828</v>
      </c>
      <c r="F83" s="94">
        <f>251.994+21.78</f>
        <v>273.774</v>
      </c>
    </row>
    <row r="84" spans="1:6" ht="18.75">
      <c r="A84" s="109" t="s">
        <v>12</v>
      </c>
      <c r="B84" s="8">
        <f t="shared" si="1"/>
        <v>86.697</v>
      </c>
      <c r="C84" s="8"/>
      <c r="D84" s="8"/>
      <c r="E84" s="93">
        <v>1.932</v>
      </c>
      <c r="F84" s="94">
        <v>84.765</v>
      </c>
    </row>
    <row r="85" spans="1:6" ht="18">
      <c r="A85" s="110" t="s">
        <v>5</v>
      </c>
      <c r="B85" s="8">
        <f t="shared" si="1"/>
        <v>2764.607</v>
      </c>
      <c r="C85" s="20">
        <f>C86+C87</f>
        <v>362.26</v>
      </c>
      <c r="D85" s="8"/>
      <c r="E85" s="20">
        <f>E86+E87</f>
        <v>1339.554</v>
      </c>
      <c r="F85" s="21">
        <f>F86+F87</f>
        <v>1062.7930000000001</v>
      </c>
    </row>
    <row r="86" spans="1:6" ht="18.75">
      <c r="A86" s="109" t="s">
        <v>13</v>
      </c>
      <c r="B86" s="8">
        <f t="shared" si="1"/>
        <v>1796.1909999999998</v>
      </c>
      <c r="C86" s="20">
        <v>362.26</v>
      </c>
      <c r="D86" s="8"/>
      <c r="E86" s="20">
        <v>886.252</v>
      </c>
      <c r="F86" s="21">
        <v>547.679</v>
      </c>
    </row>
    <row r="87" spans="1:6" ht="18.75">
      <c r="A87" s="109" t="s">
        <v>10</v>
      </c>
      <c r="B87" s="8">
        <f t="shared" si="1"/>
        <v>968.416</v>
      </c>
      <c r="C87" s="8"/>
      <c r="D87" s="8"/>
      <c r="E87" s="20">
        <f>E88+E89</f>
        <v>453.302</v>
      </c>
      <c r="F87" s="21">
        <f>F88+F89</f>
        <v>515.114</v>
      </c>
    </row>
    <row r="88" spans="1:6" ht="18.75">
      <c r="A88" s="109" t="s">
        <v>11</v>
      </c>
      <c r="B88" s="8">
        <f t="shared" si="1"/>
        <v>963.2560000000001</v>
      </c>
      <c r="C88" s="93"/>
      <c r="D88" s="93"/>
      <c r="E88" s="93">
        <f>435.765+12.377</f>
        <v>448.142</v>
      </c>
      <c r="F88" s="94">
        <f>451.66+63.454</f>
        <v>515.114</v>
      </c>
    </row>
    <row r="89" spans="1:6" ht="18.75">
      <c r="A89" s="109" t="s">
        <v>12</v>
      </c>
      <c r="B89" s="8">
        <f t="shared" si="1"/>
        <v>5.16</v>
      </c>
      <c r="C89" s="93"/>
      <c r="D89" s="93"/>
      <c r="E89" s="93">
        <v>5.16</v>
      </c>
      <c r="F89" s="94"/>
    </row>
    <row r="90" spans="1:6" ht="36">
      <c r="A90" s="110" t="s">
        <v>65</v>
      </c>
      <c r="B90" s="8">
        <f t="shared" si="1"/>
        <v>5167.909</v>
      </c>
      <c r="C90" s="20"/>
      <c r="D90" s="8"/>
      <c r="E90" s="20">
        <f>E91+E92</f>
        <v>1138.377</v>
      </c>
      <c r="F90" s="21">
        <f>F91+F92</f>
        <v>4029.532</v>
      </c>
    </row>
    <row r="91" spans="1:6" ht="18.75">
      <c r="A91" s="109" t="s">
        <v>13</v>
      </c>
      <c r="B91" s="8">
        <f t="shared" si="1"/>
        <v>2561.393</v>
      </c>
      <c r="C91" s="8"/>
      <c r="D91" s="8"/>
      <c r="E91" s="20">
        <v>1103.201</v>
      </c>
      <c r="F91" s="21">
        <v>1458.192</v>
      </c>
    </row>
    <row r="92" spans="1:6" ht="18.75">
      <c r="A92" s="109" t="s">
        <v>10</v>
      </c>
      <c r="B92" s="8">
        <f t="shared" si="1"/>
        <v>2606.516</v>
      </c>
      <c r="C92" s="8"/>
      <c r="D92" s="8"/>
      <c r="E92" s="20">
        <f>E93+E94</f>
        <v>35.176</v>
      </c>
      <c r="F92" s="21">
        <f>F93+F94</f>
        <v>2571.34</v>
      </c>
    </row>
    <row r="93" spans="1:6" ht="18.75">
      <c r="A93" s="109" t="s">
        <v>11</v>
      </c>
      <c r="B93" s="8">
        <f t="shared" si="1"/>
        <v>591.38</v>
      </c>
      <c r="C93" s="10"/>
      <c r="D93" s="8"/>
      <c r="E93" s="93">
        <v>13.664</v>
      </c>
      <c r="F93" s="94">
        <v>577.716</v>
      </c>
    </row>
    <row r="94" spans="1:6" ht="19.5" thickBot="1">
      <c r="A94" s="116" t="s">
        <v>12</v>
      </c>
      <c r="B94" s="22">
        <f t="shared" si="1"/>
        <v>2015.136</v>
      </c>
      <c r="C94" s="24"/>
      <c r="D94" s="22"/>
      <c r="E94" s="126">
        <v>21.512</v>
      </c>
      <c r="F94" s="127">
        <v>1993.624</v>
      </c>
    </row>
    <row r="95" spans="1:6" ht="18">
      <c r="A95" s="54" t="s">
        <v>21</v>
      </c>
      <c r="B95" s="55">
        <f aca="true" t="shared" si="2" ref="B95:B100">C95+D95+E95+F95</f>
        <v>150.439</v>
      </c>
      <c r="C95" s="134"/>
      <c r="D95" s="134"/>
      <c r="E95" s="134">
        <v>150.439</v>
      </c>
      <c r="F95" s="135"/>
    </row>
    <row r="96" spans="1:6" ht="18">
      <c r="A96" s="31" t="s">
        <v>22</v>
      </c>
      <c r="B96" s="5">
        <f t="shared" si="2"/>
        <v>77.619</v>
      </c>
      <c r="C96" s="11"/>
      <c r="D96" s="11"/>
      <c r="E96" s="11">
        <v>77.619</v>
      </c>
      <c r="F96" s="12"/>
    </row>
    <row r="97" spans="1:6" ht="18">
      <c r="A97" s="31" t="s">
        <v>27</v>
      </c>
      <c r="B97" s="5">
        <f t="shared" si="2"/>
        <v>686.471</v>
      </c>
      <c r="C97" s="11"/>
      <c r="D97" s="11"/>
      <c r="E97" s="11">
        <v>601.784</v>
      </c>
      <c r="F97" s="12">
        <v>84.687</v>
      </c>
    </row>
    <row r="98" spans="1:6" ht="18">
      <c r="A98" s="31" t="s">
        <v>23</v>
      </c>
      <c r="B98" s="5">
        <f t="shared" si="2"/>
        <v>753.1949999999999</v>
      </c>
      <c r="C98" s="11">
        <v>544.398</v>
      </c>
      <c r="D98" s="11"/>
      <c r="E98" s="11">
        <v>100.838</v>
      </c>
      <c r="F98" s="12">
        <v>107.959</v>
      </c>
    </row>
    <row r="99" spans="1:6" ht="20.25" customHeight="1" thickBot="1">
      <c r="A99" s="120" t="s">
        <v>24</v>
      </c>
      <c r="B99" s="121">
        <f t="shared" si="2"/>
        <v>418.679</v>
      </c>
      <c r="C99" s="147"/>
      <c r="D99" s="147"/>
      <c r="E99" s="147">
        <v>418.679</v>
      </c>
      <c r="F99" s="149"/>
    </row>
    <row r="100" spans="1:6" ht="18.75" thickBot="1">
      <c r="A100" s="30" t="s">
        <v>66</v>
      </c>
      <c r="B100" s="50">
        <f t="shared" si="2"/>
        <v>111782.53240000003</v>
      </c>
      <c r="C100" s="124">
        <f>C5+C10+C15+C20+C25+C30+C35+C40+C45+C50+C55+C60+C65+C70+C75+C80+C85+C90+C95+C96+C97+C98+C99</f>
        <v>48149.130000000005</v>
      </c>
      <c r="D100" s="124">
        <f>D5+D10+D15+D20+D25+D30+D35+D40+D45+D50+D55+D60+D65+D70+D75+D80+D85+D90+D95+D96+D97+D98+D99</f>
        <v>1481.519</v>
      </c>
      <c r="E100" s="124">
        <f>E5+E10+E15+E20+E25+E30+E35+E40+E45+E50+E55+E60+E65+E70+E75+E80+E85+E90+E95+E96+E97+E98+E99</f>
        <v>27135.7804</v>
      </c>
      <c r="F100" s="51">
        <f>F5+F10+F15+F20+F25+F30+F35+F40+F45+F50+F55+F60+F65+F70+F75+F80+F85+F90+F95+F96+F97+F98+F99</f>
        <v>35016.10300000001</v>
      </c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zoomScale="60" zoomScaleNormal="60" zoomScalePageLayoutView="0" workbookViewId="0" topLeftCell="A53">
      <selection activeCell="I86" sqref="I86"/>
    </sheetView>
  </sheetViews>
  <sheetFormatPr defaultColWidth="9.00390625" defaultRowHeight="12.75"/>
  <cols>
    <col min="1" max="1" width="59.375" style="0" customWidth="1"/>
    <col min="2" max="2" width="24.25390625" style="0" customWidth="1"/>
    <col min="3" max="6" width="22.25390625" style="3" customWidth="1"/>
    <col min="7" max="8" width="22.25390625" style="77" customWidth="1"/>
    <col min="9" max="9" width="15.625" style="77" customWidth="1"/>
    <col min="10" max="10" width="17.25390625" style="81" customWidth="1"/>
    <col min="11" max="11" width="17.25390625" style="77" customWidth="1"/>
    <col min="12" max="15" width="17.25390625" style="81" customWidth="1"/>
    <col min="16" max="16" width="12.25390625" style="77" customWidth="1"/>
    <col min="17" max="17" width="11.00390625" style="82" bestFit="1" customWidth="1"/>
    <col min="18" max="16384" width="9.125" style="77" customWidth="1"/>
  </cols>
  <sheetData>
    <row r="1" spans="1:17" s="81" customFormat="1" ht="23.25">
      <c r="A1" s="162" t="s">
        <v>32</v>
      </c>
      <c r="B1" s="162"/>
      <c r="C1" s="162"/>
      <c r="D1" s="162"/>
      <c r="E1" s="162"/>
      <c r="F1" s="162"/>
      <c r="Q1" s="82"/>
    </row>
    <row r="2" spans="1:17" s="83" customFormat="1" ht="23.25">
      <c r="A2" s="163" t="s">
        <v>50</v>
      </c>
      <c r="B2" s="163"/>
      <c r="C2" s="163"/>
      <c r="D2" s="164"/>
      <c r="E2" s="164"/>
      <c r="F2" s="164"/>
      <c r="J2" s="81"/>
      <c r="L2" s="81"/>
      <c r="M2" s="81"/>
      <c r="N2" s="81"/>
      <c r="O2" s="81"/>
      <c r="Q2" s="82"/>
    </row>
    <row r="3" spans="1:6" ht="18.75" thickBot="1">
      <c r="A3" s="3"/>
      <c r="B3" s="3"/>
      <c r="F3" s="73" t="s">
        <v>31</v>
      </c>
    </row>
    <row r="4" spans="1:17" s="85" customFormat="1" ht="29.25" customHeight="1" thickBot="1">
      <c r="A4" s="43" t="s">
        <v>33</v>
      </c>
      <c r="B4" s="69"/>
      <c r="C4" s="52" t="s">
        <v>0</v>
      </c>
      <c r="D4" s="52" t="s">
        <v>1</v>
      </c>
      <c r="E4" s="52" t="s">
        <v>2</v>
      </c>
      <c r="F4" s="53" t="s">
        <v>3</v>
      </c>
      <c r="G4" s="7"/>
      <c r="H4" s="84"/>
      <c r="I4" s="7"/>
      <c r="J4" s="7"/>
      <c r="L4" s="7"/>
      <c r="M4" s="7"/>
      <c r="N4" s="7"/>
      <c r="O4" s="7"/>
      <c r="Q4" s="86"/>
    </row>
    <row r="5" spans="1:8" s="4" customFormat="1" ht="44.25" customHeight="1">
      <c r="A5" s="108" t="s">
        <v>57</v>
      </c>
      <c r="B5" s="32">
        <f>C5+D5+E5+F5</f>
        <v>77607.023</v>
      </c>
      <c r="C5" s="20">
        <f>C6+C7</f>
        <v>33579.614</v>
      </c>
      <c r="D5" s="20">
        <f>D6+D7</f>
        <v>1798.674</v>
      </c>
      <c r="E5" s="20">
        <f>E6+E7</f>
        <v>19335.022999999997</v>
      </c>
      <c r="F5" s="21">
        <f>F6+F7</f>
        <v>22893.712</v>
      </c>
      <c r="G5" s="13"/>
      <c r="H5" s="26"/>
    </row>
    <row r="6" spans="1:9" s="4" customFormat="1" ht="27" customHeight="1">
      <c r="A6" s="109" t="s">
        <v>13</v>
      </c>
      <c r="B6" s="8">
        <f aca="true" t="shared" si="0" ref="B6:B55">C6+D6+E6+F6</f>
        <v>62301.597</v>
      </c>
      <c r="C6" s="8">
        <f>33546.615</f>
        <v>33546.615</v>
      </c>
      <c r="D6" s="8">
        <v>1797.444</v>
      </c>
      <c r="E6" s="8">
        <v>18646.153</v>
      </c>
      <c r="F6" s="9">
        <v>8311.385</v>
      </c>
      <c r="G6" s="13"/>
      <c r="H6" s="26"/>
      <c r="I6" s="26"/>
    </row>
    <row r="7" spans="1:8" s="4" customFormat="1" ht="20.25" customHeight="1">
      <c r="A7" s="109" t="s">
        <v>10</v>
      </c>
      <c r="B7" s="8">
        <f t="shared" si="0"/>
        <v>15305.426000000001</v>
      </c>
      <c r="C7" s="20">
        <f>C8+C9</f>
        <v>32.999</v>
      </c>
      <c r="D7" s="20">
        <f>D8+D9</f>
        <v>1.23</v>
      </c>
      <c r="E7" s="20">
        <f>E8+E9</f>
        <v>688.87</v>
      </c>
      <c r="F7" s="21">
        <f>F8+F9</f>
        <v>14582.327000000001</v>
      </c>
      <c r="G7" s="13"/>
      <c r="H7" s="26"/>
    </row>
    <row r="8" spans="1:8" s="4" customFormat="1" ht="21.75" customHeight="1">
      <c r="A8" s="109" t="s">
        <v>11</v>
      </c>
      <c r="B8" s="8">
        <f t="shared" si="0"/>
        <v>4362.6900000000005</v>
      </c>
      <c r="C8" s="93">
        <v>13.629</v>
      </c>
      <c r="D8" s="93"/>
      <c r="E8" s="93">
        <v>118.515</v>
      </c>
      <c r="F8" s="94">
        <v>4230.546</v>
      </c>
      <c r="G8" s="13"/>
      <c r="H8" s="26"/>
    </row>
    <row r="9" spans="1:8" s="4" customFormat="1" ht="24.75" customHeight="1">
      <c r="A9" s="109" t="s">
        <v>12</v>
      </c>
      <c r="B9" s="8">
        <f t="shared" si="0"/>
        <v>10942.736</v>
      </c>
      <c r="C9" s="93">
        <v>19.37</v>
      </c>
      <c r="D9" s="93">
        <v>1.23</v>
      </c>
      <c r="E9" s="93">
        <v>570.355</v>
      </c>
      <c r="F9" s="94">
        <v>10351.781</v>
      </c>
      <c r="G9" s="7"/>
      <c r="H9" s="40"/>
    </row>
    <row r="10" spans="1:8" s="4" customFormat="1" ht="41.25" customHeight="1">
      <c r="A10" s="110" t="s">
        <v>58</v>
      </c>
      <c r="B10" s="8">
        <f t="shared" si="0"/>
        <v>5228.875</v>
      </c>
      <c r="C10" s="20">
        <f>C11+C12</f>
        <v>759.6700000000001</v>
      </c>
      <c r="D10" s="20"/>
      <c r="E10" s="20">
        <f>E11+E12</f>
        <v>1789.297</v>
      </c>
      <c r="F10" s="21">
        <f>F11+F12</f>
        <v>2679.908</v>
      </c>
      <c r="G10" s="13"/>
      <c r="H10" s="40"/>
    </row>
    <row r="11" spans="1:8" s="4" customFormat="1" ht="21.75" customHeight="1">
      <c r="A11" s="109" t="s">
        <v>13</v>
      </c>
      <c r="B11" s="8">
        <f t="shared" si="0"/>
        <v>3214.085</v>
      </c>
      <c r="C11" s="8">
        <v>689.835</v>
      </c>
      <c r="D11" s="8"/>
      <c r="E11" s="8">
        <v>1491.984</v>
      </c>
      <c r="F11" s="9">
        <v>1032.266</v>
      </c>
      <c r="G11" s="13"/>
      <c r="H11" s="40"/>
    </row>
    <row r="12" spans="1:8" s="4" customFormat="1" ht="19.5" customHeight="1">
      <c r="A12" s="109" t="s">
        <v>10</v>
      </c>
      <c r="B12" s="8">
        <f t="shared" si="0"/>
        <v>2014.7899999999997</v>
      </c>
      <c r="C12" s="20">
        <f>C13+C14</f>
        <v>69.835</v>
      </c>
      <c r="D12" s="8"/>
      <c r="E12" s="20">
        <f>E13+E14</f>
        <v>297.313</v>
      </c>
      <c r="F12" s="21">
        <f>F13+F14</f>
        <v>1647.6419999999998</v>
      </c>
      <c r="G12" s="13"/>
      <c r="H12" s="40"/>
    </row>
    <row r="13" spans="1:8" s="4" customFormat="1" ht="17.25" customHeight="1">
      <c r="A13" s="109" t="s">
        <v>11</v>
      </c>
      <c r="B13" s="8">
        <f t="shared" si="0"/>
        <v>1186.197</v>
      </c>
      <c r="C13" s="11"/>
      <c r="D13" s="11"/>
      <c r="E13" s="11">
        <v>61.119</v>
      </c>
      <c r="F13" s="12">
        <v>1125.078</v>
      </c>
      <c r="G13" s="13"/>
      <c r="H13" s="40"/>
    </row>
    <row r="14" spans="1:8" s="4" customFormat="1" ht="17.25" customHeight="1">
      <c r="A14" s="109" t="s">
        <v>12</v>
      </c>
      <c r="B14" s="8">
        <f t="shared" si="0"/>
        <v>828.593</v>
      </c>
      <c r="C14" s="11">
        <v>69.835</v>
      </c>
      <c r="D14" s="11"/>
      <c r="E14" s="11">
        <v>236.194</v>
      </c>
      <c r="F14" s="12">
        <v>522.564</v>
      </c>
      <c r="G14" s="13"/>
      <c r="H14" s="40"/>
    </row>
    <row r="15" spans="1:8" s="4" customFormat="1" ht="35.25" customHeight="1">
      <c r="A15" s="110" t="s">
        <v>6</v>
      </c>
      <c r="B15" s="8">
        <f t="shared" si="0"/>
        <v>1074.5800000000002</v>
      </c>
      <c r="C15" s="20">
        <f>C16+C17</f>
        <v>1074.5800000000002</v>
      </c>
      <c r="D15" s="8"/>
      <c r="E15" s="8"/>
      <c r="F15" s="21">
        <f>F16+F17</f>
        <v>0</v>
      </c>
      <c r="G15" s="7"/>
      <c r="H15" s="28"/>
    </row>
    <row r="16" spans="1:8" s="4" customFormat="1" ht="19.5" customHeight="1">
      <c r="A16" s="109" t="s">
        <v>13</v>
      </c>
      <c r="B16" s="8">
        <f t="shared" si="0"/>
        <v>1074.314</v>
      </c>
      <c r="C16" s="8">
        <v>1074.314</v>
      </c>
      <c r="D16" s="8"/>
      <c r="E16" s="20"/>
      <c r="F16" s="21"/>
      <c r="G16" s="7"/>
      <c r="H16" s="28"/>
    </row>
    <row r="17" spans="1:8" s="4" customFormat="1" ht="18" customHeight="1">
      <c r="A17" s="109" t="s">
        <v>10</v>
      </c>
      <c r="B17" s="8">
        <f t="shared" si="0"/>
        <v>0.266</v>
      </c>
      <c r="C17" s="20">
        <f>C18+C19</f>
        <v>0.266</v>
      </c>
      <c r="D17" s="8"/>
      <c r="E17" s="20">
        <f>E18+E19</f>
        <v>0</v>
      </c>
      <c r="F17" s="21">
        <f>F18+F19</f>
        <v>0</v>
      </c>
      <c r="G17" s="7"/>
      <c r="H17" s="28"/>
    </row>
    <row r="18" spans="1:8" s="4" customFormat="1" ht="19.5" customHeight="1">
      <c r="A18" s="109" t="s">
        <v>11</v>
      </c>
      <c r="B18" s="8">
        <f t="shared" si="0"/>
        <v>0.266</v>
      </c>
      <c r="C18" s="95">
        <v>0.266</v>
      </c>
      <c r="D18" s="95"/>
      <c r="E18" s="95"/>
      <c r="F18" s="96"/>
      <c r="G18" s="7"/>
      <c r="H18" s="28"/>
    </row>
    <row r="19" spans="1:8" s="4" customFormat="1" ht="19.5" customHeight="1">
      <c r="A19" s="109" t="s">
        <v>12</v>
      </c>
      <c r="B19" s="8">
        <f t="shared" si="0"/>
        <v>0</v>
      </c>
      <c r="C19" s="95"/>
      <c r="D19" s="95"/>
      <c r="E19" s="95"/>
      <c r="F19" s="96"/>
      <c r="G19" s="7"/>
      <c r="H19" s="28"/>
    </row>
    <row r="20" spans="1:8" s="4" customFormat="1" ht="37.5" customHeight="1">
      <c r="A20" s="110" t="s">
        <v>59</v>
      </c>
      <c r="B20" s="8">
        <f t="shared" si="0"/>
        <v>224.55499999999998</v>
      </c>
      <c r="C20" s="20">
        <f>C21+C22</f>
        <v>7.998</v>
      </c>
      <c r="D20" s="20">
        <f>D21+D22</f>
        <v>137.174</v>
      </c>
      <c r="E20" s="20">
        <f>E21+E22</f>
        <v>8.26</v>
      </c>
      <c r="F20" s="21">
        <f>F21+F22</f>
        <v>71.12299999999999</v>
      </c>
      <c r="G20" s="13"/>
      <c r="H20" s="40"/>
    </row>
    <row r="21" spans="1:8" s="4" customFormat="1" ht="21.75" customHeight="1">
      <c r="A21" s="109" t="s">
        <v>13</v>
      </c>
      <c r="B21" s="8">
        <f t="shared" si="0"/>
        <v>206.515</v>
      </c>
      <c r="C21" s="8">
        <v>7.998</v>
      </c>
      <c r="D21" s="8">
        <v>137.174</v>
      </c>
      <c r="E21" s="8">
        <v>8.26</v>
      </c>
      <c r="F21" s="9">
        <v>53.083</v>
      </c>
      <c r="G21" s="13"/>
      <c r="H21" s="40"/>
    </row>
    <row r="22" spans="1:8" s="4" customFormat="1" ht="21" customHeight="1">
      <c r="A22" s="109" t="s">
        <v>10</v>
      </c>
      <c r="B22" s="8">
        <f t="shared" si="0"/>
        <v>18.04</v>
      </c>
      <c r="C22" s="20">
        <f>C23+C24</f>
        <v>0</v>
      </c>
      <c r="D22" s="8"/>
      <c r="E22" s="20">
        <f>E23+E24</f>
        <v>0</v>
      </c>
      <c r="F22" s="21">
        <f>F23+F24</f>
        <v>18.04</v>
      </c>
      <c r="G22" s="13"/>
      <c r="H22" s="40"/>
    </row>
    <row r="23" spans="1:8" s="4" customFormat="1" ht="21.75" customHeight="1">
      <c r="A23" s="109" t="s">
        <v>11</v>
      </c>
      <c r="B23" s="8">
        <f t="shared" si="0"/>
        <v>18.04</v>
      </c>
      <c r="C23" s="95"/>
      <c r="D23" s="95"/>
      <c r="E23" s="11"/>
      <c r="F23" s="12">
        <v>18.04</v>
      </c>
      <c r="G23" s="13"/>
      <c r="H23" s="40"/>
    </row>
    <row r="24" spans="1:8" s="4" customFormat="1" ht="21" customHeight="1">
      <c r="A24" s="109" t="s">
        <v>12</v>
      </c>
      <c r="B24" s="8">
        <f t="shared" si="0"/>
        <v>0</v>
      </c>
      <c r="C24" s="95"/>
      <c r="D24" s="95"/>
      <c r="E24" s="95"/>
      <c r="F24" s="96"/>
      <c r="G24" s="13"/>
      <c r="H24" s="40"/>
    </row>
    <row r="25" spans="1:8" s="4" customFormat="1" ht="41.25" customHeight="1">
      <c r="A25" s="110" t="s">
        <v>7</v>
      </c>
      <c r="B25" s="8">
        <f t="shared" si="0"/>
        <v>12025.167000000001</v>
      </c>
      <c r="C25" s="20">
        <f>C26+C27</f>
        <v>6983.63</v>
      </c>
      <c r="D25" s="20">
        <f>D26+D27</f>
        <v>0</v>
      </c>
      <c r="E25" s="20">
        <f>E26+E27</f>
        <v>1747.498</v>
      </c>
      <c r="F25" s="21">
        <f>F26+F27</f>
        <v>3294.039</v>
      </c>
      <c r="G25" s="13"/>
      <c r="H25" s="40"/>
    </row>
    <row r="26" spans="1:8" s="4" customFormat="1" ht="19.5" customHeight="1">
      <c r="A26" s="109" t="s">
        <v>13</v>
      </c>
      <c r="B26" s="8">
        <f t="shared" si="0"/>
        <v>9621.384</v>
      </c>
      <c r="C26" s="8">
        <v>6983.63</v>
      </c>
      <c r="D26" s="8"/>
      <c r="E26" s="8">
        <v>1695.736</v>
      </c>
      <c r="F26" s="9">
        <v>942.018</v>
      </c>
      <c r="G26" s="13"/>
      <c r="H26" s="40"/>
    </row>
    <row r="27" spans="1:8" s="4" customFormat="1" ht="24.75" customHeight="1">
      <c r="A27" s="109" t="s">
        <v>10</v>
      </c>
      <c r="B27" s="8">
        <f t="shared" si="0"/>
        <v>2403.7830000000004</v>
      </c>
      <c r="C27" s="20">
        <f>C28+C29</f>
        <v>0</v>
      </c>
      <c r="D27" s="8"/>
      <c r="E27" s="20">
        <f>E28+E29</f>
        <v>51.762</v>
      </c>
      <c r="F27" s="21">
        <f>F28+F29</f>
        <v>2352.021</v>
      </c>
      <c r="G27" s="13"/>
      <c r="H27" s="40"/>
    </row>
    <row r="28" spans="1:8" s="4" customFormat="1" ht="25.5" customHeight="1">
      <c r="A28" s="109" t="s">
        <v>11</v>
      </c>
      <c r="B28" s="8">
        <f t="shared" si="0"/>
        <v>2374.5280000000002</v>
      </c>
      <c r="C28" s="95"/>
      <c r="D28" s="95"/>
      <c r="E28" s="11">
        <v>51.762</v>
      </c>
      <c r="F28" s="12">
        <f>2228.914+93.852</f>
        <v>2322.766</v>
      </c>
      <c r="G28" s="13"/>
      <c r="H28" s="40"/>
    </row>
    <row r="29" spans="1:8" s="4" customFormat="1" ht="20.25" customHeight="1">
      <c r="A29" s="109" t="s">
        <v>12</v>
      </c>
      <c r="B29" s="8">
        <f t="shared" si="0"/>
        <v>29.255</v>
      </c>
      <c r="C29" s="95"/>
      <c r="D29" s="95"/>
      <c r="E29" s="11"/>
      <c r="F29" s="12">
        <v>29.255</v>
      </c>
      <c r="G29" s="13"/>
      <c r="H29" s="40"/>
    </row>
    <row r="30" spans="1:8" s="4" customFormat="1" ht="50.25" customHeight="1">
      <c r="A30" s="110" t="s">
        <v>60</v>
      </c>
      <c r="B30" s="8">
        <f t="shared" si="0"/>
        <v>103.16999999999999</v>
      </c>
      <c r="C30" s="95"/>
      <c r="D30" s="95"/>
      <c r="E30" s="20">
        <f>E31+E32</f>
        <v>63.001</v>
      </c>
      <c r="F30" s="21">
        <f>F31+F32</f>
        <v>40.169</v>
      </c>
      <c r="G30" s="7"/>
      <c r="H30" s="28"/>
    </row>
    <row r="31" spans="1:8" s="4" customFormat="1" ht="22.5" customHeight="1">
      <c r="A31" s="109" t="s">
        <v>13</v>
      </c>
      <c r="B31" s="8">
        <f t="shared" si="0"/>
        <v>76.89099999999999</v>
      </c>
      <c r="C31" s="8"/>
      <c r="D31" s="8"/>
      <c r="E31" s="8">
        <v>63.001</v>
      </c>
      <c r="F31" s="9">
        <v>13.89</v>
      </c>
      <c r="G31" s="7"/>
      <c r="H31" s="28"/>
    </row>
    <row r="32" spans="1:8" s="4" customFormat="1" ht="24.75" customHeight="1">
      <c r="A32" s="109" t="s">
        <v>10</v>
      </c>
      <c r="B32" s="8">
        <f t="shared" si="0"/>
        <v>26.279</v>
      </c>
      <c r="C32" s="8"/>
      <c r="D32" s="8"/>
      <c r="E32" s="20">
        <f>E33+E34</f>
        <v>0</v>
      </c>
      <c r="F32" s="21">
        <f>F33+F34</f>
        <v>26.279</v>
      </c>
      <c r="G32" s="7"/>
      <c r="H32" s="28"/>
    </row>
    <row r="33" spans="1:8" s="4" customFormat="1" ht="18" customHeight="1">
      <c r="A33" s="109" t="s">
        <v>11</v>
      </c>
      <c r="B33" s="8">
        <f t="shared" si="0"/>
        <v>20.261</v>
      </c>
      <c r="C33" s="95"/>
      <c r="D33" s="95"/>
      <c r="E33" s="95"/>
      <c r="F33" s="12">
        <v>20.261</v>
      </c>
      <c r="G33" s="7"/>
      <c r="H33" s="28"/>
    </row>
    <row r="34" spans="1:8" s="4" customFormat="1" ht="18" customHeight="1">
      <c r="A34" s="109" t="s">
        <v>12</v>
      </c>
      <c r="B34" s="8">
        <f t="shared" si="0"/>
        <v>6.018</v>
      </c>
      <c r="C34" s="95"/>
      <c r="D34" s="95"/>
      <c r="E34" s="95"/>
      <c r="F34" s="12">
        <v>6.018</v>
      </c>
      <c r="G34" s="7"/>
      <c r="H34" s="28"/>
    </row>
    <row r="35" spans="1:8" s="4" customFormat="1" ht="34.5" customHeight="1">
      <c r="A35" s="49" t="s">
        <v>61</v>
      </c>
      <c r="B35" s="8">
        <f t="shared" si="0"/>
        <v>97.138</v>
      </c>
      <c r="C35" s="20">
        <f>C36+C37</f>
        <v>0</v>
      </c>
      <c r="D35" s="95"/>
      <c r="E35" s="20">
        <f>E36+E37</f>
        <v>0</v>
      </c>
      <c r="F35" s="21">
        <f>F36+F37</f>
        <v>97.138</v>
      </c>
      <c r="G35" s="7"/>
      <c r="H35" s="28"/>
    </row>
    <row r="36" spans="1:8" s="4" customFormat="1" ht="23.25" customHeight="1">
      <c r="A36" s="109" t="s">
        <v>13</v>
      </c>
      <c r="B36" s="8">
        <f t="shared" si="0"/>
        <v>80.623</v>
      </c>
      <c r="C36" s="8"/>
      <c r="D36" s="8"/>
      <c r="E36" s="8"/>
      <c r="F36" s="9">
        <v>80.623</v>
      </c>
      <c r="G36" s="7"/>
      <c r="H36" s="28"/>
    </row>
    <row r="37" spans="1:8" s="4" customFormat="1" ht="23.25" customHeight="1">
      <c r="A37" s="109" t="s">
        <v>10</v>
      </c>
      <c r="B37" s="8">
        <f t="shared" si="0"/>
        <v>16.515</v>
      </c>
      <c r="C37" s="20">
        <f>C38+C39</f>
        <v>0</v>
      </c>
      <c r="D37" s="8"/>
      <c r="E37" s="20">
        <f>E38+E39</f>
        <v>0</v>
      </c>
      <c r="F37" s="21">
        <f>F38+F39</f>
        <v>16.515</v>
      </c>
      <c r="G37" s="7"/>
      <c r="H37" s="28"/>
    </row>
    <row r="38" spans="1:8" s="4" customFormat="1" ht="23.25" customHeight="1">
      <c r="A38" s="109" t="s">
        <v>11</v>
      </c>
      <c r="B38" s="8">
        <f t="shared" si="0"/>
        <v>0</v>
      </c>
      <c r="C38" s="95"/>
      <c r="D38" s="95"/>
      <c r="E38" s="95"/>
      <c r="F38" s="12"/>
      <c r="G38" s="7"/>
      <c r="H38" s="28"/>
    </row>
    <row r="39" spans="1:8" s="4" customFormat="1" ht="23.25" customHeight="1">
      <c r="A39" s="109" t="s">
        <v>12</v>
      </c>
      <c r="B39" s="8">
        <f t="shared" si="0"/>
        <v>16.515</v>
      </c>
      <c r="C39" s="95"/>
      <c r="D39" s="95"/>
      <c r="E39" s="95"/>
      <c r="F39" s="12">
        <v>16.515</v>
      </c>
      <c r="G39" s="7"/>
      <c r="H39" s="28"/>
    </row>
    <row r="40" spans="1:9" s="4" customFormat="1" ht="42" customHeight="1">
      <c r="A40" s="110" t="s">
        <v>26</v>
      </c>
      <c r="B40" s="8">
        <f t="shared" si="0"/>
        <v>63.636</v>
      </c>
      <c r="C40" s="95">
        <f>C41+C42</f>
        <v>11.549</v>
      </c>
      <c r="D40" s="95"/>
      <c r="E40" s="95">
        <f>E41+E42</f>
        <v>52.087</v>
      </c>
      <c r="F40" s="21"/>
      <c r="G40" s="7"/>
      <c r="H40" s="40"/>
      <c r="I40" s="7"/>
    </row>
    <row r="41" spans="1:8" s="4" customFormat="1" ht="19.5" customHeight="1">
      <c r="A41" s="109" t="s">
        <v>13</v>
      </c>
      <c r="B41" s="8">
        <f t="shared" si="0"/>
        <v>63.636</v>
      </c>
      <c r="C41" s="8">
        <v>11.549</v>
      </c>
      <c r="D41" s="8">
        <f>D40-D42</f>
        <v>0</v>
      </c>
      <c r="E41" s="8">
        <v>52.087</v>
      </c>
      <c r="F41" s="9"/>
      <c r="G41" s="7"/>
      <c r="H41" s="40"/>
    </row>
    <row r="42" spans="1:8" s="4" customFormat="1" ht="19.5" customHeight="1">
      <c r="A42" s="109" t="s">
        <v>10</v>
      </c>
      <c r="B42" s="8">
        <f t="shared" si="0"/>
        <v>0</v>
      </c>
      <c r="C42" s="8"/>
      <c r="D42" s="8"/>
      <c r="E42" s="20">
        <f>E43+E44</f>
        <v>0</v>
      </c>
      <c r="F42" s="21">
        <f>F43+F44</f>
        <v>0</v>
      </c>
      <c r="G42" s="7"/>
      <c r="H42" s="40"/>
    </row>
    <row r="43" spans="1:8" s="4" customFormat="1" ht="19.5" customHeight="1">
      <c r="A43" s="109" t="s">
        <v>11</v>
      </c>
      <c r="B43" s="8">
        <f t="shared" si="0"/>
        <v>0</v>
      </c>
      <c r="C43" s="95"/>
      <c r="D43" s="95"/>
      <c r="E43" s="95"/>
      <c r="F43" s="12"/>
      <c r="G43" s="7"/>
      <c r="H43" s="40"/>
    </row>
    <row r="44" spans="1:8" s="4" customFormat="1" ht="19.5" customHeight="1">
      <c r="A44" s="109" t="s">
        <v>12</v>
      </c>
      <c r="B44" s="8">
        <f t="shared" si="0"/>
        <v>0</v>
      </c>
      <c r="C44" s="95"/>
      <c r="D44" s="95"/>
      <c r="E44" s="95"/>
      <c r="F44" s="12"/>
      <c r="G44" s="7"/>
      <c r="H44" s="40"/>
    </row>
    <row r="45" spans="1:8" s="4" customFormat="1" ht="24.75" customHeight="1">
      <c r="A45" s="111" t="s">
        <v>29</v>
      </c>
      <c r="B45" s="8">
        <f t="shared" si="0"/>
        <v>386.556</v>
      </c>
      <c r="C45" s="8"/>
      <c r="D45" s="8"/>
      <c r="E45" s="8">
        <f>E46+E47</f>
        <v>309.049</v>
      </c>
      <c r="F45" s="9">
        <f>F46+F47</f>
        <v>77.507</v>
      </c>
      <c r="G45" s="13"/>
      <c r="H45" s="26"/>
    </row>
    <row r="46" spans="1:8" s="4" customFormat="1" ht="24.75" customHeight="1">
      <c r="A46" s="109" t="s">
        <v>13</v>
      </c>
      <c r="B46" s="8">
        <f t="shared" si="0"/>
        <v>386.556</v>
      </c>
      <c r="C46" s="8"/>
      <c r="D46" s="8"/>
      <c r="E46" s="20">
        <v>309.049</v>
      </c>
      <c r="F46" s="21">
        <v>77.507</v>
      </c>
      <c r="G46" s="13"/>
      <c r="H46" s="26"/>
    </row>
    <row r="47" spans="1:8" s="4" customFormat="1" ht="24.75" customHeight="1">
      <c r="A47" s="109" t="s">
        <v>10</v>
      </c>
      <c r="B47" s="8">
        <f t="shared" si="0"/>
        <v>0</v>
      </c>
      <c r="C47" s="8"/>
      <c r="D47" s="8"/>
      <c r="E47" s="20">
        <f>E48+E49</f>
        <v>0</v>
      </c>
      <c r="F47" s="21">
        <f>F48+F49</f>
        <v>0</v>
      </c>
      <c r="G47" s="13"/>
      <c r="H47" s="26"/>
    </row>
    <row r="48" spans="1:8" s="4" customFormat="1" ht="24.75" customHeight="1">
      <c r="A48" s="109" t="s">
        <v>11</v>
      </c>
      <c r="B48" s="8">
        <f t="shared" si="0"/>
        <v>0</v>
      </c>
      <c r="C48" s="8"/>
      <c r="D48" s="8"/>
      <c r="E48" s="8"/>
      <c r="F48" s="9"/>
      <c r="G48" s="13"/>
      <c r="H48" s="26"/>
    </row>
    <row r="49" spans="1:8" s="4" customFormat="1" ht="24.75" customHeight="1">
      <c r="A49" s="109" t="s">
        <v>12</v>
      </c>
      <c r="B49" s="8">
        <f t="shared" si="0"/>
        <v>0</v>
      </c>
      <c r="C49" s="8"/>
      <c r="D49" s="8"/>
      <c r="E49" s="8"/>
      <c r="F49" s="9"/>
      <c r="G49" s="13"/>
      <c r="H49" s="26"/>
    </row>
    <row r="50" spans="1:8" s="4" customFormat="1" ht="24.75" customHeight="1">
      <c r="A50" s="111" t="s">
        <v>4</v>
      </c>
      <c r="B50" s="8">
        <f t="shared" si="0"/>
        <v>766.668</v>
      </c>
      <c r="C50" s="8">
        <f>C51+C52</f>
        <v>766.668</v>
      </c>
      <c r="D50" s="8"/>
      <c r="E50" s="8"/>
      <c r="F50" s="9"/>
      <c r="G50" s="13"/>
      <c r="H50" s="26"/>
    </row>
    <row r="51" spans="1:8" s="4" customFormat="1" ht="24.75" customHeight="1">
      <c r="A51" s="109" t="s">
        <v>13</v>
      </c>
      <c r="B51" s="8">
        <f t="shared" si="0"/>
        <v>766.668</v>
      </c>
      <c r="C51" s="20">
        <v>766.668</v>
      </c>
      <c r="D51" s="8"/>
      <c r="E51" s="20"/>
      <c r="F51" s="21"/>
      <c r="G51" s="13"/>
      <c r="H51" s="26"/>
    </row>
    <row r="52" spans="1:8" s="4" customFormat="1" ht="24.75" customHeight="1">
      <c r="A52" s="109" t="s">
        <v>10</v>
      </c>
      <c r="B52" s="8">
        <f t="shared" si="0"/>
        <v>0</v>
      </c>
      <c r="C52" s="20">
        <f>C53+C54</f>
        <v>0</v>
      </c>
      <c r="D52" s="8"/>
      <c r="E52" s="20">
        <f>E53+E54</f>
        <v>0</v>
      </c>
      <c r="F52" s="21">
        <f>F53+F54</f>
        <v>0</v>
      </c>
      <c r="G52" s="13"/>
      <c r="H52" s="26"/>
    </row>
    <row r="53" spans="1:8" s="4" customFormat="1" ht="24.75" customHeight="1">
      <c r="A53" s="109" t="s">
        <v>11</v>
      </c>
      <c r="B53" s="8">
        <f t="shared" si="0"/>
        <v>0</v>
      </c>
      <c r="C53" s="95"/>
      <c r="D53" s="8"/>
      <c r="E53" s="8"/>
      <c r="F53" s="9"/>
      <c r="G53" s="13"/>
      <c r="H53" s="26"/>
    </row>
    <row r="54" spans="1:8" s="4" customFormat="1" ht="24.75" customHeight="1">
      <c r="A54" s="109" t="s">
        <v>12</v>
      </c>
      <c r="B54" s="8">
        <f t="shared" si="0"/>
        <v>0</v>
      </c>
      <c r="C54" s="95"/>
      <c r="D54" s="8"/>
      <c r="E54" s="8"/>
      <c r="F54" s="9"/>
      <c r="G54" s="13"/>
      <c r="H54" s="26"/>
    </row>
    <row r="55" spans="1:8" s="4" customFormat="1" ht="50.25" customHeight="1">
      <c r="A55" s="110" t="s">
        <v>62</v>
      </c>
      <c r="B55" s="8">
        <f t="shared" si="0"/>
        <v>704.8320000000001</v>
      </c>
      <c r="C55" s="20">
        <f>C56+C57</f>
        <v>0</v>
      </c>
      <c r="D55" s="20">
        <f>D56+D57</f>
        <v>0</v>
      </c>
      <c r="E55" s="20">
        <f>E56+E57</f>
        <v>265.718</v>
      </c>
      <c r="F55" s="21">
        <f>F56+F57</f>
        <v>439.11400000000003</v>
      </c>
      <c r="G55" s="13"/>
      <c r="H55" s="26"/>
    </row>
    <row r="56" spans="1:8" s="4" customFormat="1" ht="26.25" customHeight="1">
      <c r="A56" s="109" t="s">
        <v>13</v>
      </c>
      <c r="B56" s="8">
        <f>F56+E56+D56+C56</f>
        <v>383.337</v>
      </c>
      <c r="C56" s="20"/>
      <c r="D56" s="20"/>
      <c r="E56" s="20">
        <v>265.718</v>
      </c>
      <c r="F56" s="21">
        <v>117.619</v>
      </c>
      <c r="G56" s="13"/>
      <c r="H56" s="26"/>
    </row>
    <row r="57" spans="1:8" s="4" customFormat="1" ht="26.25" customHeight="1">
      <c r="A57" s="109" t="s">
        <v>10</v>
      </c>
      <c r="B57" s="8">
        <f aca="true" t="shared" si="1" ref="B57:B100">C57+D57+E57+F57</f>
        <v>321.495</v>
      </c>
      <c r="C57" s="20">
        <f>C58+C59</f>
        <v>0</v>
      </c>
      <c r="D57" s="20">
        <f>D58+D59</f>
        <v>0</v>
      </c>
      <c r="E57" s="20">
        <f>E58+E59</f>
        <v>0</v>
      </c>
      <c r="F57" s="21">
        <f>F58+F59</f>
        <v>321.495</v>
      </c>
      <c r="G57" s="13"/>
      <c r="H57" s="26"/>
    </row>
    <row r="58" spans="1:8" s="4" customFormat="1" ht="26.25" customHeight="1">
      <c r="A58" s="109" t="s">
        <v>11</v>
      </c>
      <c r="B58" s="8">
        <f t="shared" si="1"/>
        <v>283.397</v>
      </c>
      <c r="C58" s="93"/>
      <c r="D58" s="8"/>
      <c r="E58" s="8"/>
      <c r="F58" s="9">
        <v>283.397</v>
      </c>
      <c r="G58" s="13"/>
      <c r="H58" s="26"/>
    </row>
    <row r="59" spans="1:8" s="4" customFormat="1" ht="26.25" customHeight="1">
      <c r="A59" s="109" t="s">
        <v>12</v>
      </c>
      <c r="B59" s="8">
        <f t="shared" si="1"/>
        <v>38.098</v>
      </c>
      <c r="C59" s="93"/>
      <c r="D59" s="8"/>
      <c r="E59" s="8"/>
      <c r="F59" s="9">
        <v>38.098</v>
      </c>
      <c r="G59" s="13"/>
      <c r="H59" s="26"/>
    </row>
    <row r="60" spans="1:8" s="4" customFormat="1" ht="24.75" customHeight="1">
      <c r="A60" s="110" t="s">
        <v>28</v>
      </c>
      <c r="B60" s="8">
        <f t="shared" si="1"/>
        <v>2138.5</v>
      </c>
      <c r="C60" s="8">
        <f>C61+C62</f>
        <v>2126.6</v>
      </c>
      <c r="D60" s="8"/>
      <c r="E60" s="8">
        <f>E61+E62</f>
        <v>0</v>
      </c>
      <c r="F60" s="9">
        <f>F61+F62</f>
        <v>11.9</v>
      </c>
      <c r="G60" s="7"/>
      <c r="H60" s="26"/>
    </row>
    <row r="61" spans="1:8" s="4" customFormat="1" ht="21.75" customHeight="1">
      <c r="A61" s="109" t="s">
        <v>13</v>
      </c>
      <c r="B61" s="8">
        <f t="shared" si="1"/>
        <v>2138.5</v>
      </c>
      <c r="C61" s="113">
        <v>2126.6</v>
      </c>
      <c r="D61" s="113"/>
      <c r="E61" s="113"/>
      <c r="F61" s="114">
        <v>11.9</v>
      </c>
      <c r="G61" s="7"/>
      <c r="H61" s="36"/>
    </row>
    <row r="62" spans="1:8" s="4" customFormat="1" ht="16.5" customHeight="1">
      <c r="A62" s="109" t="s">
        <v>10</v>
      </c>
      <c r="B62" s="8">
        <f t="shared" si="1"/>
        <v>0</v>
      </c>
      <c r="C62" s="93"/>
      <c r="D62" s="8"/>
      <c r="E62" s="8">
        <f>E64+E63</f>
        <v>0</v>
      </c>
      <c r="F62" s="9">
        <f>F64+F63</f>
        <v>0</v>
      </c>
      <c r="G62" s="7"/>
      <c r="H62" s="36"/>
    </row>
    <row r="63" spans="1:8" s="4" customFormat="1" ht="18" customHeight="1">
      <c r="A63" s="109" t="s">
        <v>11</v>
      </c>
      <c r="B63" s="8">
        <f t="shared" si="1"/>
        <v>0</v>
      </c>
      <c r="C63" s="93"/>
      <c r="D63" s="8"/>
      <c r="E63" s="10"/>
      <c r="F63" s="17"/>
      <c r="G63" s="7"/>
      <c r="H63" s="36"/>
    </row>
    <row r="64" spans="1:8" s="4" customFormat="1" ht="18" customHeight="1">
      <c r="A64" s="109" t="s">
        <v>12</v>
      </c>
      <c r="B64" s="8">
        <f t="shared" si="1"/>
        <v>0</v>
      </c>
      <c r="C64" s="93"/>
      <c r="D64" s="8"/>
      <c r="E64" s="10"/>
      <c r="F64" s="17"/>
      <c r="G64" s="7"/>
      <c r="H64" s="36"/>
    </row>
    <row r="65" spans="1:8" s="4" customFormat="1" ht="24.75" customHeight="1">
      <c r="A65" s="110" t="s">
        <v>63</v>
      </c>
      <c r="B65" s="8">
        <f t="shared" si="1"/>
        <v>0</v>
      </c>
      <c r="C65" s="8">
        <f>C66+C67</f>
        <v>0</v>
      </c>
      <c r="D65" s="8"/>
      <c r="E65" s="8">
        <f>E66+E67</f>
        <v>0</v>
      </c>
      <c r="F65" s="9">
        <f>F66+F67</f>
        <v>0</v>
      </c>
      <c r="G65" s="7"/>
      <c r="H65" s="36"/>
    </row>
    <row r="66" spans="1:8" s="4" customFormat="1" ht="21.75" customHeight="1">
      <c r="A66" s="109" t="s">
        <v>13</v>
      </c>
      <c r="B66" s="8">
        <f t="shared" si="1"/>
        <v>0</v>
      </c>
      <c r="C66" s="113"/>
      <c r="D66" s="113"/>
      <c r="E66" s="113"/>
      <c r="F66" s="114"/>
      <c r="G66" s="7"/>
      <c r="H66" s="36"/>
    </row>
    <row r="67" spans="1:8" s="4" customFormat="1" ht="18" customHeight="1">
      <c r="A67" s="109" t="s">
        <v>10</v>
      </c>
      <c r="B67" s="8">
        <f t="shared" si="1"/>
        <v>0</v>
      </c>
      <c r="C67" s="93"/>
      <c r="D67" s="8"/>
      <c r="E67" s="8">
        <f>E69+E68</f>
        <v>0</v>
      </c>
      <c r="F67" s="9">
        <f>F69+F68</f>
        <v>0</v>
      </c>
      <c r="G67" s="7"/>
      <c r="H67" s="36"/>
    </row>
    <row r="68" spans="1:8" s="4" customFormat="1" ht="19.5" customHeight="1">
      <c r="A68" s="109" t="s">
        <v>11</v>
      </c>
      <c r="B68" s="8">
        <f t="shared" si="1"/>
        <v>0</v>
      </c>
      <c r="C68" s="93"/>
      <c r="D68" s="8"/>
      <c r="E68" s="10"/>
      <c r="F68" s="17"/>
      <c r="G68" s="7"/>
      <c r="H68" s="36"/>
    </row>
    <row r="69" spans="1:8" s="4" customFormat="1" ht="19.5" customHeight="1">
      <c r="A69" s="109" t="s">
        <v>12</v>
      </c>
      <c r="B69" s="8">
        <f t="shared" si="1"/>
        <v>0</v>
      </c>
      <c r="C69" s="93"/>
      <c r="D69" s="8"/>
      <c r="E69" s="10"/>
      <c r="F69" s="17"/>
      <c r="G69" s="7"/>
      <c r="H69" s="36"/>
    </row>
    <row r="70" spans="1:8" s="7" customFormat="1" ht="25.5" customHeight="1">
      <c r="A70" s="110" t="s">
        <v>25</v>
      </c>
      <c r="B70" s="8">
        <f t="shared" si="1"/>
        <v>74.609</v>
      </c>
      <c r="C70" s="93"/>
      <c r="D70" s="8"/>
      <c r="E70" s="8">
        <f>E71+E72</f>
        <v>0</v>
      </c>
      <c r="F70" s="9">
        <f>F71+F72</f>
        <v>74.609</v>
      </c>
      <c r="H70" s="28"/>
    </row>
    <row r="71" spans="1:17" ht="18.75">
      <c r="A71" s="109" t="s">
        <v>13</v>
      </c>
      <c r="B71" s="8">
        <f t="shared" si="1"/>
        <v>6.681</v>
      </c>
      <c r="C71" s="93"/>
      <c r="D71" s="8"/>
      <c r="E71" s="8"/>
      <c r="F71" s="115">
        <v>6.681</v>
      </c>
      <c r="J71" s="77"/>
      <c r="L71" s="77"/>
      <c r="M71" s="77"/>
      <c r="N71" s="77"/>
      <c r="O71" s="77"/>
      <c r="Q71" s="77"/>
    </row>
    <row r="72" spans="1:17" ht="18.75">
      <c r="A72" s="109" t="s">
        <v>10</v>
      </c>
      <c r="B72" s="8">
        <f t="shared" si="1"/>
        <v>67.928</v>
      </c>
      <c r="C72" s="93"/>
      <c r="D72" s="8"/>
      <c r="E72" s="8">
        <f>E74+E73</f>
        <v>0</v>
      </c>
      <c r="F72" s="9">
        <f>F74+F73</f>
        <v>67.928</v>
      </c>
      <c r="J72" s="77"/>
      <c r="L72" s="77"/>
      <c r="M72" s="77"/>
      <c r="N72" s="77"/>
      <c r="O72" s="77"/>
      <c r="Q72" s="77"/>
    </row>
    <row r="73" spans="1:8" s="81" customFormat="1" ht="23.25" customHeight="1">
      <c r="A73" s="109" t="s">
        <v>11</v>
      </c>
      <c r="B73" s="8">
        <f t="shared" si="1"/>
        <v>67.928</v>
      </c>
      <c r="C73" s="93"/>
      <c r="D73" s="8"/>
      <c r="E73" s="10"/>
      <c r="F73" s="17">
        <v>67.928</v>
      </c>
      <c r="G73" s="7"/>
      <c r="H73" s="78"/>
    </row>
    <row r="74" spans="1:8" s="81" customFormat="1" ht="23.25" customHeight="1">
      <c r="A74" s="109" t="s">
        <v>12</v>
      </c>
      <c r="B74" s="8">
        <f t="shared" si="1"/>
        <v>0</v>
      </c>
      <c r="C74" s="93"/>
      <c r="D74" s="8"/>
      <c r="E74" s="10"/>
      <c r="F74" s="17"/>
      <c r="G74" s="7"/>
      <c r="H74" s="79"/>
    </row>
    <row r="75" spans="1:8" s="81" customFormat="1" ht="36.75" customHeight="1">
      <c r="A75" s="110" t="s">
        <v>64</v>
      </c>
      <c r="B75" s="8">
        <f t="shared" si="1"/>
        <v>240.136</v>
      </c>
      <c r="C75" s="93"/>
      <c r="D75" s="8"/>
      <c r="E75" s="8">
        <f>E76+E77</f>
        <v>12.476</v>
      </c>
      <c r="F75" s="9">
        <f>F76+F77</f>
        <v>227.66</v>
      </c>
      <c r="G75" s="7"/>
      <c r="H75" s="80"/>
    </row>
    <row r="76" spans="1:8" s="81" customFormat="1" ht="36.75" customHeight="1">
      <c r="A76" s="109" t="s">
        <v>13</v>
      </c>
      <c r="B76" s="8">
        <f t="shared" si="1"/>
        <v>68.316</v>
      </c>
      <c r="C76" s="93"/>
      <c r="D76" s="8"/>
      <c r="E76" s="138">
        <v>12.476</v>
      </c>
      <c r="F76" s="115">
        <v>55.84</v>
      </c>
      <c r="G76" s="58"/>
      <c r="H76" s="80"/>
    </row>
    <row r="77" spans="1:8" s="81" customFormat="1" ht="36.75" customHeight="1">
      <c r="A77" s="109" t="s">
        <v>10</v>
      </c>
      <c r="B77" s="8">
        <f t="shared" si="1"/>
        <v>171.82</v>
      </c>
      <c r="C77" s="93"/>
      <c r="D77" s="8"/>
      <c r="E77" s="8">
        <f>E79+E78</f>
        <v>0</v>
      </c>
      <c r="F77" s="9">
        <f>F79+F78</f>
        <v>171.82</v>
      </c>
      <c r="G77" s="7"/>
      <c r="H77" s="36"/>
    </row>
    <row r="78" spans="1:8" s="81" customFormat="1" ht="23.25" customHeight="1">
      <c r="A78" s="109" t="s">
        <v>11</v>
      </c>
      <c r="B78" s="8">
        <f t="shared" si="1"/>
        <v>0</v>
      </c>
      <c r="C78" s="93"/>
      <c r="D78" s="8"/>
      <c r="E78" s="8"/>
      <c r="F78" s="9"/>
      <c r="G78" s="59"/>
      <c r="H78" s="36"/>
    </row>
    <row r="79" spans="1:8" s="81" customFormat="1" ht="23.25" customHeight="1">
      <c r="A79" s="109" t="s">
        <v>12</v>
      </c>
      <c r="B79" s="8">
        <f t="shared" si="1"/>
        <v>171.82</v>
      </c>
      <c r="C79" s="93"/>
      <c r="D79" s="8"/>
      <c r="E79" s="8"/>
      <c r="F79" s="9">
        <v>171.82</v>
      </c>
      <c r="G79" s="7"/>
      <c r="H79" s="36"/>
    </row>
    <row r="80" spans="1:8" s="81" customFormat="1" ht="23.25" customHeight="1">
      <c r="A80" s="110" t="s">
        <v>8</v>
      </c>
      <c r="B80" s="8">
        <f t="shared" si="1"/>
        <v>1126.7710000000002</v>
      </c>
      <c r="C80" s="8"/>
      <c r="D80" s="8"/>
      <c r="E80" s="20">
        <f>E81+E82</f>
        <v>732.056</v>
      </c>
      <c r="F80" s="21">
        <f>F81+F82</f>
        <v>394.71500000000003</v>
      </c>
      <c r="G80" s="7"/>
      <c r="H80" s="36"/>
    </row>
    <row r="81" spans="1:6" s="81" customFormat="1" ht="38.25" customHeight="1">
      <c r="A81" s="109" t="s">
        <v>13</v>
      </c>
      <c r="B81" s="8">
        <f t="shared" si="1"/>
        <v>604.664</v>
      </c>
      <c r="C81" s="8"/>
      <c r="D81" s="8"/>
      <c r="E81" s="8">
        <v>476.751</v>
      </c>
      <c r="F81" s="9">
        <v>127.913</v>
      </c>
    </row>
    <row r="82" spans="1:17" ht="18.75">
      <c r="A82" s="109" t="s">
        <v>10</v>
      </c>
      <c r="B82" s="8">
        <f t="shared" si="1"/>
        <v>522.107</v>
      </c>
      <c r="C82" s="8"/>
      <c r="D82" s="8"/>
      <c r="E82" s="20">
        <f>E83+E84</f>
        <v>255.305</v>
      </c>
      <c r="F82" s="21">
        <f>F83+F84</f>
        <v>266.802</v>
      </c>
      <c r="J82" s="77"/>
      <c r="L82" s="77"/>
      <c r="M82" s="77"/>
      <c r="N82" s="77"/>
      <c r="O82" s="77"/>
      <c r="Q82" s="77"/>
    </row>
    <row r="83" spans="1:17" ht="18.75">
      <c r="A83" s="109" t="s">
        <v>11</v>
      </c>
      <c r="B83" s="8">
        <f t="shared" si="1"/>
        <v>424.582</v>
      </c>
      <c r="C83" s="8"/>
      <c r="D83" s="8"/>
      <c r="E83" s="11">
        <v>253.267</v>
      </c>
      <c r="F83" s="12">
        <f>143.215+28.1</f>
        <v>171.315</v>
      </c>
      <c r="J83" s="77"/>
      <c r="L83" s="77"/>
      <c r="M83" s="77"/>
      <c r="N83" s="77"/>
      <c r="O83" s="77"/>
      <c r="Q83" s="77"/>
    </row>
    <row r="84" spans="1:6" ht="18.75">
      <c r="A84" s="109" t="s">
        <v>12</v>
      </c>
      <c r="B84" s="8">
        <f t="shared" si="1"/>
        <v>97.52499999999999</v>
      </c>
      <c r="C84" s="8"/>
      <c r="D84" s="8"/>
      <c r="E84" s="11">
        <v>2.038</v>
      </c>
      <c r="F84" s="12">
        <v>95.487</v>
      </c>
    </row>
    <row r="85" spans="1:6" ht="18">
      <c r="A85" s="110" t="s">
        <v>5</v>
      </c>
      <c r="B85" s="8">
        <f t="shared" si="1"/>
        <v>2761.942</v>
      </c>
      <c r="C85" s="20">
        <f>C86+C87</f>
        <v>356.035</v>
      </c>
      <c r="D85" s="95"/>
      <c r="E85" s="20">
        <f>E86+E87</f>
        <v>1525.967</v>
      </c>
      <c r="F85" s="21">
        <f>F86+F87</f>
        <v>879.94</v>
      </c>
    </row>
    <row r="86" spans="1:6" ht="18.75">
      <c r="A86" s="109" t="s">
        <v>13</v>
      </c>
      <c r="B86" s="8">
        <f t="shared" si="1"/>
        <v>1655.152</v>
      </c>
      <c r="C86" s="20">
        <v>356.035</v>
      </c>
      <c r="D86" s="20"/>
      <c r="E86" s="8">
        <v>910.918</v>
      </c>
      <c r="F86" s="9">
        <v>388.199</v>
      </c>
    </row>
    <row r="87" spans="1:6" ht="18.75">
      <c r="A87" s="109" t="s">
        <v>10</v>
      </c>
      <c r="B87" s="8">
        <f t="shared" si="1"/>
        <v>1106.79</v>
      </c>
      <c r="C87" s="8"/>
      <c r="D87" s="8"/>
      <c r="E87" s="20">
        <f>E88+E89</f>
        <v>615.0490000000001</v>
      </c>
      <c r="F87" s="21">
        <f>F88+F89</f>
        <v>491.741</v>
      </c>
    </row>
    <row r="88" spans="1:6" ht="18.75">
      <c r="A88" s="109" t="s">
        <v>11</v>
      </c>
      <c r="B88" s="8">
        <f t="shared" si="1"/>
        <v>1100.19</v>
      </c>
      <c r="C88" s="95"/>
      <c r="D88" s="95"/>
      <c r="E88" s="11">
        <f>583.941+24.508</f>
        <v>608.4490000000001</v>
      </c>
      <c r="F88" s="12">
        <f>417.007+74.734</f>
        <v>491.741</v>
      </c>
    </row>
    <row r="89" spans="1:6" ht="18.75">
      <c r="A89" s="109" t="s">
        <v>12</v>
      </c>
      <c r="B89" s="8">
        <f t="shared" si="1"/>
        <v>6.6</v>
      </c>
      <c r="C89" s="95"/>
      <c r="D89" s="95"/>
      <c r="E89" s="11">
        <v>6.6</v>
      </c>
      <c r="F89" s="96"/>
    </row>
    <row r="90" spans="1:6" ht="36">
      <c r="A90" s="110" t="s">
        <v>65</v>
      </c>
      <c r="B90" s="8">
        <f t="shared" si="1"/>
        <v>5248.975</v>
      </c>
      <c r="C90" s="8"/>
      <c r="D90" s="8"/>
      <c r="E90" s="20">
        <f>E91+E92</f>
        <v>1187.198</v>
      </c>
      <c r="F90" s="21">
        <f>F91+F92</f>
        <v>4061.777</v>
      </c>
    </row>
    <row r="91" spans="1:6" ht="18.75">
      <c r="A91" s="109" t="s">
        <v>13</v>
      </c>
      <c r="B91" s="8">
        <f t="shared" si="1"/>
        <v>2531.3469999999998</v>
      </c>
      <c r="C91" s="8"/>
      <c r="D91" s="8"/>
      <c r="E91" s="20">
        <v>1145.632</v>
      </c>
      <c r="F91" s="21">
        <v>1385.715</v>
      </c>
    </row>
    <row r="92" spans="1:6" ht="18.75">
      <c r="A92" s="109" t="s">
        <v>10</v>
      </c>
      <c r="B92" s="8">
        <f t="shared" si="1"/>
        <v>2717.6279999999997</v>
      </c>
      <c r="C92" s="8"/>
      <c r="D92" s="8"/>
      <c r="E92" s="20">
        <f>E93+E94</f>
        <v>41.566</v>
      </c>
      <c r="F92" s="21">
        <f>F93+F94</f>
        <v>2676.062</v>
      </c>
    </row>
    <row r="93" spans="1:6" ht="18.75">
      <c r="A93" s="109" t="s">
        <v>11</v>
      </c>
      <c r="B93" s="8">
        <f t="shared" si="1"/>
        <v>555.63</v>
      </c>
      <c r="C93" s="8"/>
      <c r="D93" s="8"/>
      <c r="E93" s="11">
        <v>19.066</v>
      </c>
      <c r="F93" s="12">
        <v>536.564</v>
      </c>
    </row>
    <row r="94" spans="1:6" ht="19.5" thickBot="1">
      <c r="A94" s="116" t="s">
        <v>12</v>
      </c>
      <c r="B94" s="22">
        <f t="shared" si="1"/>
        <v>2161.998</v>
      </c>
      <c r="C94" s="22"/>
      <c r="D94" s="22"/>
      <c r="E94" s="148">
        <v>22.5</v>
      </c>
      <c r="F94" s="151">
        <v>2139.498</v>
      </c>
    </row>
    <row r="95" spans="1:6" ht="18">
      <c r="A95" s="54" t="s">
        <v>21</v>
      </c>
      <c r="B95" s="55">
        <f t="shared" si="1"/>
        <v>245.853</v>
      </c>
      <c r="C95" s="32"/>
      <c r="D95" s="32"/>
      <c r="E95" s="119">
        <v>245.853</v>
      </c>
      <c r="F95" s="33"/>
    </row>
    <row r="96" spans="1:6" ht="18">
      <c r="A96" s="31" t="s">
        <v>22</v>
      </c>
      <c r="B96" s="5">
        <f t="shared" si="1"/>
        <v>84.669</v>
      </c>
      <c r="C96" s="8"/>
      <c r="D96" s="8"/>
      <c r="E96" s="93">
        <v>84.669</v>
      </c>
      <c r="F96" s="9"/>
    </row>
    <row r="97" spans="1:6" ht="18">
      <c r="A97" s="31" t="s">
        <v>27</v>
      </c>
      <c r="B97" s="5">
        <f t="shared" si="1"/>
        <v>653.268</v>
      </c>
      <c r="C97" s="8"/>
      <c r="D97" s="8"/>
      <c r="E97" s="93">
        <v>579.381</v>
      </c>
      <c r="F97" s="94">
        <v>73.887</v>
      </c>
    </row>
    <row r="98" spans="1:6" ht="18">
      <c r="A98" s="31" t="s">
        <v>23</v>
      </c>
      <c r="B98" s="5">
        <f t="shared" si="1"/>
        <v>727.7</v>
      </c>
      <c r="C98" s="10">
        <v>532.806</v>
      </c>
      <c r="D98" s="10"/>
      <c r="E98" s="10">
        <v>98.244</v>
      </c>
      <c r="F98" s="17">
        <v>96.65</v>
      </c>
    </row>
    <row r="99" spans="1:6" ht="36.75" thickBot="1">
      <c r="A99" s="120" t="s">
        <v>24</v>
      </c>
      <c r="B99" s="121">
        <f t="shared" si="1"/>
        <v>392.176</v>
      </c>
      <c r="C99" s="122"/>
      <c r="D99" s="122"/>
      <c r="E99" s="122">
        <v>392.176</v>
      </c>
      <c r="F99" s="123"/>
    </row>
    <row r="100" spans="1:6" ht="18.75" thickBot="1">
      <c r="A100" s="30" t="s">
        <v>66</v>
      </c>
      <c r="B100" s="50">
        <f t="shared" si="1"/>
        <v>111976.799</v>
      </c>
      <c r="C100" s="124">
        <f>C5+C10+C15+C20+C25+C30+C35+C40+C45+C50+C55+C60+C65+C70+C75+C80+C85+C90+C95+C96+C97+C98+C99</f>
        <v>46199.149999999994</v>
      </c>
      <c r="D100" s="124">
        <f>D5+D10+D15+D20+D25+D30+D35+D40+D45+D50+D55+D60+D65+D70+D75+D80+D85+D90+D95+D96+D97+D98+D99</f>
        <v>1935.848</v>
      </c>
      <c r="E100" s="124">
        <f>E5+E10+E15+E20+E25+E30+E35+E40+E45+E50+E55+E60+E65+E70+E75+E80+E85+E90+E95+E96+E97+E98+E99</f>
        <v>28427.952999999994</v>
      </c>
      <c r="F100" s="51">
        <f>F5+F10+F15+F20+F25+F30+F35+F40+F45+F50+F55+F60+F65+F70+F75+F80+F85+F90+F95+F96+F97+F98+F99</f>
        <v>35413.848000000005</v>
      </c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2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="60" zoomScaleNormal="60" zoomScalePageLayoutView="0" workbookViewId="0" topLeftCell="A1">
      <pane xSplit="1" ySplit="4" topLeftCell="B5" activePane="bottomRight" state="frozen"/>
      <selection pane="topLeft" activeCell="E77" sqref="E77"/>
      <selection pane="topRight" activeCell="E77" sqref="E77"/>
      <selection pane="bottomLeft" activeCell="E77" sqref="E77"/>
      <selection pane="bottomRight" activeCell="E14" sqref="E14"/>
    </sheetView>
  </sheetViews>
  <sheetFormatPr defaultColWidth="9.00390625" defaultRowHeight="12.75"/>
  <cols>
    <col min="1" max="1" width="59.125" style="0" customWidth="1"/>
    <col min="2" max="6" width="25.25390625" style="0" customWidth="1"/>
    <col min="7" max="7" width="11.75390625" style="77" customWidth="1"/>
    <col min="8" max="8" width="27.00390625" style="77" customWidth="1"/>
    <col min="9" max="9" width="18.125" style="77" customWidth="1"/>
    <col min="10" max="16384" width="9.125" style="77" customWidth="1"/>
  </cols>
  <sheetData>
    <row r="1" spans="1:6" ht="23.25">
      <c r="A1" s="162" t="s">
        <v>32</v>
      </c>
      <c r="B1" s="162"/>
      <c r="C1" s="162"/>
      <c r="D1" s="162"/>
      <c r="E1" s="162"/>
      <c r="F1" s="162"/>
    </row>
    <row r="2" spans="1:6" s="83" customFormat="1" ht="23.25">
      <c r="A2" s="163" t="s">
        <v>56</v>
      </c>
      <c r="B2" s="163"/>
      <c r="C2" s="163"/>
      <c r="D2" s="164"/>
      <c r="E2" s="164"/>
      <c r="F2" s="164"/>
    </row>
    <row r="3" spans="1:6" ht="18.75" thickBot="1">
      <c r="A3" s="3"/>
      <c r="B3" s="3"/>
      <c r="C3" s="3"/>
      <c r="D3" s="3"/>
      <c r="E3" s="3"/>
      <c r="F3" s="73" t="s">
        <v>31</v>
      </c>
    </row>
    <row r="4" spans="1:8" s="85" customFormat="1" ht="29.25" customHeight="1" thickBot="1">
      <c r="A4" s="43" t="s">
        <v>37</v>
      </c>
      <c r="B4" s="44"/>
      <c r="C4" s="45" t="s">
        <v>0</v>
      </c>
      <c r="D4" s="45" t="s">
        <v>1</v>
      </c>
      <c r="E4" s="45" t="s">
        <v>2</v>
      </c>
      <c r="F4" s="46" t="s">
        <v>3</v>
      </c>
      <c r="G4" s="7"/>
      <c r="H4" s="84"/>
    </row>
    <row r="5" spans="1:8" s="4" customFormat="1" ht="36.75" customHeight="1">
      <c r="A5" s="74" t="s">
        <v>57</v>
      </c>
      <c r="B5" s="55">
        <f>C5+D5+E5+F5</f>
        <v>229188.8934</v>
      </c>
      <c r="C5" s="103">
        <f>C6+C7</f>
        <v>103960.10800000001</v>
      </c>
      <c r="D5" s="103">
        <f>D6+D7</f>
        <v>4000.46</v>
      </c>
      <c r="E5" s="103">
        <f>E6+E7</f>
        <v>54490.7754</v>
      </c>
      <c r="F5" s="104">
        <f>F6+F7</f>
        <v>66737.55</v>
      </c>
      <c r="G5" s="13"/>
      <c r="H5" s="40"/>
    </row>
    <row r="6" spans="1:9" s="4" customFormat="1" ht="27" customHeight="1">
      <c r="A6" s="18" t="s">
        <v>13</v>
      </c>
      <c r="B6" s="5">
        <f aca="true" t="shared" si="0" ref="B6:B39">C6+D6+E6+F6</f>
        <v>183636.295</v>
      </c>
      <c r="C6" s="88">
        <f>июль!C6+'август факт'!C6+'сентябрь факт'!C6</f>
        <v>103871.812</v>
      </c>
      <c r="D6" s="88">
        <f>июль!D6+'август факт'!D6+'сентябрь факт'!D6</f>
        <v>3997.23</v>
      </c>
      <c r="E6" s="88">
        <f>июль!E6+'август факт'!E6+'сентябрь факт'!E6</f>
        <v>52097.824</v>
      </c>
      <c r="F6" s="89">
        <f>июль!F6+'август факт'!F6+'сентябрь факт'!F6</f>
        <v>23669.429</v>
      </c>
      <c r="G6" s="13"/>
      <c r="H6" s="40"/>
      <c r="I6" s="40"/>
    </row>
    <row r="7" spans="1:8" s="4" customFormat="1" ht="20.25" customHeight="1">
      <c r="A7" s="18" t="s">
        <v>10</v>
      </c>
      <c r="B7" s="5">
        <f t="shared" si="0"/>
        <v>45552.5984</v>
      </c>
      <c r="C7" s="88">
        <f>C8+C9</f>
        <v>88.29600000000002</v>
      </c>
      <c r="D7" s="90">
        <f>D8+D9</f>
        <v>3.23</v>
      </c>
      <c r="E7" s="90">
        <f>E8+E9</f>
        <v>2392.9514</v>
      </c>
      <c r="F7" s="105">
        <f>F8+F9</f>
        <v>43068.121</v>
      </c>
      <c r="G7" s="13"/>
      <c r="H7" s="40"/>
    </row>
    <row r="8" spans="1:8" s="4" customFormat="1" ht="21.75" customHeight="1">
      <c r="A8" s="18" t="s">
        <v>11</v>
      </c>
      <c r="B8" s="5">
        <f t="shared" si="0"/>
        <v>12522.248399999999</v>
      </c>
      <c r="C8" s="91">
        <f>июль!C8+'август факт'!C8+'сентябрь факт'!C8</f>
        <v>32.13</v>
      </c>
      <c r="D8" s="91">
        <f>июль!D8+'август факт'!D8+'сентябрь факт'!D8</f>
        <v>0</v>
      </c>
      <c r="E8" s="91">
        <f>июль!E8+'август факт'!E8+'сентябрь факт'!E8</f>
        <v>305.67539999999997</v>
      </c>
      <c r="F8" s="92">
        <f>июль!F8+'август факт'!F8+'сентябрь факт'!F8</f>
        <v>12184.443</v>
      </c>
      <c r="G8" s="13"/>
      <c r="H8" s="40"/>
    </row>
    <row r="9" spans="1:8" s="4" customFormat="1" ht="24.75" customHeight="1">
      <c r="A9" s="18" t="s">
        <v>12</v>
      </c>
      <c r="B9" s="5">
        <f t="shared" si="0"/>
        <v>33030.35</v>
      </c>
      <c r="C9" s="91">
        <f>июль!C9+'август факт'!C9+'сентябрь факт'!C9</f>
        <v>56.16600000000001</v>
      </c>
      <c r="D9" s="91">
        <f>июль!D9+'август факт'!D9+'сентябрь факт'!D9</f>
        <v>3.23</v>
      </c>
      <c r="E9" s="91">
        <f>июль!E9+'август факт'!E9+'сентябрь факт'!E9</f>
        <v>2087.276</v>
      </c>
      <c r="F9" s="92">
        <f>июль!F9+'август факт'!F9+'сентябрь факт'!F9</f>
        <v>30883.678</v>
      </c>
      <c r="G9" s="7"/>
      <c r="H9" s="40"/>
    </row>
    <row r="10" spans="1:8" s="4" customFormat="1" ht="47.25" customHeight="1">
      <c r="A10" s="75" t="s">
        <v>58</v>
      </c>
      <c r="B10" s="5">
        <f t="shared" si="0"/>
        <v>14386.801</v>
      </c>
      <c r="C10" s="90">
        <f>C11+C12</f>
        <v>1977.6200000000003</v>
      </c>
      <c r="D10" s="90"/>
      <c r="E10" s="90">
        <f>E11+E12</f>
        <v>4882.86</v>
      </c>
      <c r="F10" s="105">
        <f>F11+F12</f>
        <v>7526.321</v>
      </c>
      <c r="G10" s="13"/>
      <c r="H10" s="40"/>
    </row>
    <row r="11" spans="1:8" s="4" customFormat="1" ht="21.75" customHeight="1">
      <c r="A11" s="18" t="s">
        <v>13</v>
      </c>
      <c r="B11" s="5">
        <f t="shared" si="0"/>
        <v>8811.687</v>
      </c>
      <c r="C11" s="88">
        <f>июль!C11+'август факт'!C11+'сентябрь факт'!C11</f>
        <v>1784.2890000000002</v>
      </c>
      <c r="D11" s="88">
        <f>июль!D11+'август факт'!D11+'сентябрь факт'!D11</f>
        <v>0</v>
      </c>
      <c r="E11" s="88">
        <f>июль!E11+'август факт'!E11+'сентябрь факт'!E11</f>
        <v>4079.948</v>
      </c>
      <c r="F11" s="89">
        <f>июль!F11+'август факт'!F11+'сентябрь факт'!F11</f>
        <v>2947.4500000000003</v>
      </c>
      <c r="G11" s="13"/>
      <c r="H11" s="40"/>
    </row>
    <row r="12" spans="1:8" s="4" customFormat="1" ht="19.5" customHeight="1">
      <c r="A12" s="18" t="s">
        <v>10</v>
      </c>
      <c r="B12" s="5">
        <f t="shared" si="0"/>
        <v>5575.1140000000005</v>
      </c>
      <c r="C12" s="88">
        <f>C13+C14</f>
        <v>193.33100000000002</v>
      </c>
      <c r="D12" s="90">
        <f>D13+D14</f>
        <v>0</v>
      </c>
      <c r="E12" s="90">
        <f>E13+E14</f>
        <v>802.912</v>
      </c>
      <c r="F12" s="105">
        <f>F13+F14</f>
        <v>4578.871</v>
      </c>
      <c r="G12" s="13"/>
      <c r="H12" s="40"/>
    </row>
    <row r="13" spans="1:8" s="4" customFormat="1" ht="17.25" customHeight="1">
      <c r="A13" s="18" t="s">
        <v>11</v>
      </c>
      <c r="B13" s="5">
        <f t="shared" si="0"/>
        <v>3281.899</v>
      </c>
      <c r="C13" s="91">
        <f>июль!C13+'август факт'!C13+'сентябрь факт'!C13</f>
        <v>0</v>
      </c>
      <c r="D13" s="91">
        <f>июль!D13+'август факт'!D13+'сентябрь факт'!D13</f>
        <v>0</v>
      </c>
      <c r="E13" s="91">
        <f>июль!E13+'август факт'!E13+'сентябрь факт'!E13</f>
        <v>153.897</v>
      </c>
      <c r="F13" s="92">
        <f>июль!F13+'август факт'!F13+'сентябрь факт'!F13</f>
        <v>3128.002</v>
      </c>
      <c r="G13" s="13"/>
      <c r="H13" s="40"/>
    </row>
    <row r="14" spans="1:8" s="4" customFormat="1" ht="17.25" customHeight="1">
      <c r="A14" s="18" t="s">
        <v>12</v>
      </c>
      <c r="B14" s="5">
        <f t="shared" si="0"/>
        <v>2293.215</v>
      </c>
      <c r="C14" s="91">
        <f>июль!C14+'август факт'!C14+'сентябрь факт'!C14</f>
        <v>193.33100000000002</v>
      </c>
      <c r="D14" s="91">
        <f>июль!D14+'август факт'!D14+'сентябрь факт'!D14</f>
        <v>0</v>
      </c>
      <c r="E14" s="91">
        <f>июль!E14+'август факт'!E14+'сентябрь факт'!E14</f>
        <v>649.015</v>
      </c>
      <c r="F14" s="92">
        <f>июль!F14+'август факт'!F14+'сентябрь факт'!F14</f>
        <v>1450.8690000000001</v>
      </c>
      <c r="G14" s="13"/>
      <c r="H14" s="40"/>
    </row>
    <row r="15" spans="1:8" s="4" customFormat="1" ht="35.25" customHeight="1">
      <c r="A15" s="75" t="s">
        <v>6</v>
      </c>
      <c r="B15" s="5">
        <f t="shared" si="0"/>
        <v>3194.947</v>
      </c>
      <c r="C15" s="90">
        <f>C16+C17</f>
        <v>3194.947</v>
      </c>
      <c r="D15" s="88"/>
      <c r="E15" s="88"/>
      <c r="F15" s="89"/>
      <c r="G15" s="7"/>
      <c r="H15" s="28"/>
    </row>
    <row r="16" spans="1:8" s="4" customFormat="1" ht="19.5" customHeight="1">
      <c r="A16" s="18" t="s">
        <v>13</v>
      </c>
      <c r="B16" s="5">
        <f t="shared" si="0"/>
        <v>3194.094</v>
      </c>
      <c r="C16" s="88">
        <f>июль!C16+'август факт'!C16+'сентябрь факт'!C16</f>
        <v>3194.094</v>
      </c>
      <c r="D16" s="88">
        <f>июль!D16+'август факт'!D16+'сентябрь факт'!D16</f>
        <v>0</v>
      </c>
      <c r="E16" s="88">
        <f>июль!E16+'август факт'!E16+'сентябрь факт'!E16</f>
        <v>0</v>
      </c>
      <c r="F16" s="89">
        <f>июль!F16+'август факт'!F16+'сентябрь факт'!F16</f>
        <v>0</v>
      </c>
      <c r="G16" s="7"/>
      <c r="H16" s="28"/>
    </row>
    <row r="17" spans="1:8" s="4" customFormat="1" ht="18" customHeight="1">
      <c r="A17" s="18" t="s">
        <v>10</v>
      </c>
      <c r="B17" s="5">
        <f t="shared" si="0"/>
        <v>0.853</v>
      </c>
      <c r="C17" s="88">
        <f>C18+C19</f>
        <v>0.853</v>
      </c>
      <c r="D17" s="90">
        <f>D18+D19</f>
        <v>0</v>
      </c>
      <c r="E17" s="90">
        <f>E18+E19</f>
        <v>0</v>
      </c>
      <c r="F17" s="105">
        <f>F18+F19</f>
        <v>0</v>
      </c>
      <c r="G17" s="7"/>
      <c r="H17" s="28"/>
    </row>
    <row r="18" spans="1:8" s="4" customFormat="1" ht="19.5" customHeight="1">
      <c r="A18" s="18" t="s">
        <v>11</v>
      </c>
      <c r="B18" s="5">
        <f t="shared" si="0"/>
        <v>0.853</v>
      </c>
      <c r="C18" s="91">
        <f>июль!C18+'август факт'!C18+'сентябрь факт'!C18</f>
        <v>0.853</v>
      </c>
      <c r="D18" s="91">
        <f>июль!D18+'август факт'!D18+'сентябрь факт'!D18</f>
        <v>0</v>
      </c>
      <c r="E18" s="91">
        <f>июль!E18+'август факт'!E18+'сентябрь факт'!E18</f>
        <v>0</v>
      </c>
      <c r="F18" s="92">
        <f>июль!F18+'август факт'!F18+'сентябрь факт'!F18</f>
        <v>0</v>
      </c>
      <c r="G18" s="7"/>
      <c r="H18" s="28"/>
    </row>
    <row r="19" spans="1:8" s="4" customFormat="1" ht="19.5" customHeight="1">
      <c r="A19" s="18" t="s">
        <v>12</v>
      </c>
      <c r="B19" s="5">
        <f t="shared" si="0"/>
        <v>0</v>
      </c>
      <c r="C19" s="91">
        <f>июль!C19+'август факт'!C19+'сентябрь факт'!C19</f>
        <v>0</v>
      </c>
      <c r="D19" s="91">
        <f>июль!D19+'август факт'!D19+'сентябрь факт'!D19</f>
        <v>0</v>
      </c>
      <c r="E19" s="91">
        <f>июль!E19+'август факт'!E19+'сентябрь факт'!E19</f>
        <v>0</v>
      </c>
      <c r="F19" s="92">
        <f>июль!F19+'август факт'!F19+'сентябрь факт'!F19</f>
        <v>0</v>
      </c>
      <c r="G19" s="7"/>
      <c r="H19" s="28"/>
    </row>
    <row r="20" spans="1:8" s="4" customFormat="1" ht="51" customHeight="1">
      <c r="A20" s="75" t="s">
        <v>59</v>
      </c>
      <c r="B20" s="5">
        <f t="shared" si="0"/>
        <v>825.1370000000001</v>
      </c>
      <c r="C20" s="90">
        <f>C21+C22</f>
        <v>57.793</v>
      </c>
      <c r="D20" s="90">
        <f>D21+D22</f>
        <v>495.81600000000003</v>
      </c>
      <c r="E20" s="90">
        <f>E21+E22</f>
        <v>49.378</v>
      </c>
      <c r="F20" s="105">
        <f>F21+F22</f>
        <v>222.15</v>
      </c>
      <c r="G20" s="13"/>
      <c r="H20" s="40"/>
    </row>
    <row r="21" spans="1:8" s="4" customFormat="1" ht="21.75" customHeight="1">
      <c r="A21" s="18" t="s">
        <v>13</v>
      </c>
      <c r="B21" s="5">
        <f t="shared" si="0"/>
        <v>773.897</v>
      </c>
      <c r="C21" s="88">
        <f>июль!C21+'август факт'!C21+'сентябрь факт'!C21</f>
        <v>57.793</v>
      </c>
      <c r="D21" s="88">
        <f>июль!D21+'август факт'!D21+'сентябрь факт'!D21</f>
        <v>495.81600000000003</v>
      </c>
      <c r="E21" s="88">
        <f>июль!E21+'август факт'!E21+'сентябрь факт'!E21</f>
        <v>49.378</v>
      </c>
      <c r="F21" s="89">
        <f>июль!F21+'август факт'!F21+'сентябрь факт'!F21</f>
        <v>170.91</v>
      </c>
      <c r="G21" s="13"/>
      <c r="H21" s="40"/>
    </row>
    <row r="22" spans="1:8" s="4" customFormat="1" ht="21" customHeight="1">
      <c r="A22" s="18" t="s">
        <v>10</v>
      </c>
      <c r="B22" s="5">
        <f t="shared" si="0"/>
        <v>51.24</v>
      </c>
      <c r="C22" s="88">
        <f>C23+C24</f>
        <v>0</v>
      </c>
      <c r="D22" s="90">
        <f>D23+D24</f>
        <v>0</v>
      </c>
      <c r="E22" s="90">
        <f>E23+E24</f>
        <v>0</v>
      </c>
      <c r="F22" s="105">
        <f>F23+F24</f>
        <v>51.24</v>
      </c>
      <c r="G22" s="13"/>
      <c r="H22" s="40"/>
    </row>
    <row r="23" spans="1:8" s="4" customFormat="1" ht="21.75" customHeight="1">
      <c r="A23" s="18" t="s">
        <v>11</v>
      </c>
      <c r="B23" s="5">
        <f t="shared" si="0"/>
        <v>51.24</v>
      </c>
      <c r="C23" s="91">
        <f>июль!C23+'август факт'!C23+'сентябрь факт'!C23</f>
        <v>0</v>
      </c>
      <c r="D23" s="91">
        <f>июль!D23+'август факт'!D23+'сентябрь факт'!D23</f>
        <v>0</v>
      </c>
      <c r="E23" s="91">
        <f>июль!E23+'август факт'!E23+'сентябрь факт'!E23</f>
        <v>0</v>
      </c>
      <c r="F23" s="92">
        <f>июль!F23+'август факт'!F23+'сентябрь факт'!F23</f>
        <v>51.24</v>
      </c>
      <c r="G23" s="13"/>
      <c r="H23" s="40"/>
    </row>
    <row r="24" spans="1:8" s="4" customFormat="1" ht="21" customHeight="1">
      <c r="A24" s="18" t="s">
        <v>12</v>
      </c>
      <c r="B24" s="5">
        <f t="shared" si="0"/>
        <v>0</v>
      </c>
      <c r="C24" s="91">
        <f>июль!C24+'август факт'!C24+'сентябрь факт'!C24</f>
        <v>0</v>
      </c>
      <c r="D24" s="91">
        <f>июль!D24+'август факт'!D24+'сентябрь факт'!D24</f>
        <v>0</v>
      </c>
      <c r="E24" s="91">
        <f>июль!E24+'август факт'!E24+'сентябрь факт'!E24</f>
        <v>0</v>
      </c>
      <c r="F24" s="92">
        <f>июль!F24+'август факт'!F24+'сентябрь факт'!F24</f>
        <v>0</v>
      </c>
      <c r="G24" s="13"/>
      <c r="H24" s="40"/>
    </row>
    <row r="25" spans="1:8" s="4" customFormat="1" ht="41.25" customHeight="1">
      <c r="A25" s="75" t="s">
        <v>7</v>
      </c>
      <c r="B25" s="5">
        <f t="shared" si="0"/>
        <v>36171.7</v>
      </c>
      <c r="C25" s="90">
        <f>C26+C27</f>
        <v>21542.462</v>
      </c>
      <c r="D25" s="90"/>
      <c r="E25" s="90">
        <f>E26+E27</f>
        <v>5025.084</v>
      </c>
      <c r="F25" s="105">
        <f>F26+F27</f>
        <v>9604.154</v>
      </c>
      <c r="G25" s="13"/>
      <c r="H25" s="40"/>
    </row>
    <row r="26" spans="1:8" s="4" customFormat="1" ht="19.5" customHeight="1">
      <c r="A26" s="18" t="s">
        <v>13</v>
      </c>
      <c r="B26" s="5">
        <f t="shared" si="0"/>
        <v>29254.535</v>
      </c>
      <c r="C26" s="88">
        <f>июль!C26+'август факт'!C26+'сентябрь факт'!C26</f>
        <v>21542.462</v>
      </c>
      <c r="D26" s="88">
        <f>июль!D26+'август факт'!D26+'сентябрь факт'!D26</f>
        <v>0</v>
      </c>
      <c r="E26" s="88">
        <f>июль!E26+'август факт'!E26+'сентябрь факт'!E26</f>
        <v>4893.514</v>
      </c>
      <c r="F26" s="89">
        <f>июль!F26+'август факт'!F26+'сентябрь факт'!F26</f>
        <v>2818.559</v>
      </c>
      <c r="G26" s="13"/>
      <c r="H26" s="40"/>
    </row>
    <row r="27" spans="1:8" s="4" customFormat="1" ht="24.75" customHeight="1">
      <c r="A27" s="18" t="s">
        <v>10</v>
      </c>
      <c r="B27" s="5">
        <f t="shared" si="0"/>
        <v>6917.165</v>
      </c>
      <c r="C27" s="88">
        <f>C28+C29</f>
        <v>0</v>
      </c>
      <c r="D27" s="90">
        <f>D28+D29</f>
        <v>0</v>
      </c>
      <c r="E27" s="90">
        <f>E28+E29</f>
        <v>131.57</v>
      </c>
      <c r="F27" s="105">
        <f>F28+F29</f>
        <v>6785.595</v>
      </c>
      <c r="G27" s="13"/>
      <c r="H27" s="40"/>
    </row>
    <row r="28" spans="1:8" s="4" customFormat="1" ht="25.5" customHeight="1">
      <c r="A28" s="18" t="s">
        <v>11</v>
      </c>
      <c r="B28" s="5">
        <f t="shared" si="0"/>
        <v>6833.6</v>
      </c>
      <c r="C28" s="91">
        <f>июль!C28+'август факт'!C28+'сентябрь факт'!C28</f>
        <v>0</v>
      </c>
      <c r="D28" s="91">
        <f>июль!D28+'август факт'!D28+'сентябрь факт'!D28</f>
        <v>0</v>
      </c>
      <c r="E28" s="91">
        <f>июль!E28+'август факт'!E28+'сентябрь факт'!E28</f>
        <v>131.57</v>
      </c>
      <c r="F28" s="92">
        <f>июль!F28+'август факт'!F28+'сентябрь факт'!F28</f>
        <v>6702.030000000001</v>
      </c>
      <c r="G28" s="13"/>
      <c r="H28" s="40"/>
    </row>
    <row r="29" spans="1:8" s="4" customFormat="1" ht="20.25" customHeight="1">
      <c r="A29" s="18" t="s">
        <v>12</v>
      </c>
      <c r="B29" s="5">
        <f t="shared" si="0"/>
        <v>83.565</v>
      </c>
      <c r="C29" s="91">
        <f>июль!C29+'август факт'!C29+'сентябрь факт'!C29</f>
        <v>0</v>
      </c>
      <c r="D29" s="91">
        <f>июль!D29+'август факт'!D29+'сентябрь факт'!D29</f>
        <v>0</v>
      </c>
      <c r="E29" s="91">
        <f>июль!E29+'август факт'!E29+'сентябрь факт'!E29</f>
        <v>0</v>
      </c>
      <c r="F29" s="92">
        <f>июль!F29+'август факт'!F29+'сентябрь факт'!F29</f>
        <v>83.565</v>
      </c>
      <c r="G29" s="13"/>
      <c r="H29" s="40"/>
    </row>
    <row r="30" spans="1:8" s="4" customFormat="1" ht="50.25" customHeight="1">
      <c r="A30" s="75" t="s">
        <v>60</v>
      </c>
      <c r="B30" s="5">
        <f t="shared" si="0"/>
        <v>355.082</v>
      </c>
      <c r="C30" s="90">
        <f>C31+C32</f>
        <v>0</v>
      </c>
      <c r="D30" s="90">
        <f>D31+D32</f>
        <v>0</v>
      </c>
      <c r="E30" s="90">
        <f>E31+E32</f>
        <v>230.241</v>
      </c>
      <c r="F30" s="105">
        <f>F31+F32</f>
        <v>124.84100000000001</v>
      </c>
      <c r="G30" s="7"/>
      <c r="H30" s="28"/>
    </row>
    <row r="31" spans="1:8" s="4" customFormat="1" ht="22.5" customHeight="1">
      <c r="A31" s="18" t="s">
        <v>13</v>
      </c>
      <c r="B31" s="5">
        <f t="shared" si="0"/>
        <v>278.329</v>
      </c>
      <c r="C31" s="88">
        <f>июль!C31+'август факт'!C31+'сентябрь факт'!C31</f>
        <v>0</v>
      </c>
      <c r="D31" s="88">
        <f>июль!D31+'август факт'!D31+'сентябрь факт'!D31</f>
        <v>0</v>
      </c>
      <c r="E31" s="88">
        <f>июль!E31+'август факт'!E31+'сентябрь факт'!E31</f>
        <v>230.241</v>
      </c>
      <c r="F31" s="89">
        <f>июль!F31+'август факт'!F31+'сентябрь факт'!F31</f>
        <v>48.088</v>
      </c>
      <c r="G31" s="7"/>
      <c r="H31" s="28"/>
    </row>
    <row r="32" spans="1:8" s="4" customFormat="1" ht="24.75" customHeight="1">
      <c r="A32" s="18" t="s">
        <v>10</v>
      </c>
      <c r="B32" s="5">
        <f t="shared" si="0"/>
        <v>76.753</v>
      </c>
      <c r="C32" s="88">
        <f>C33+C34</f>
        <v>0</v>
      </c>
      <c r="D32" s="90">
        <f>D33+D34</f>
        <v>0</v>
      </c>
      <c r="E32" s="90">
        <f>E33+E34</f>
        <v>0</v>
      </c>
      <c r="F32" s="105">
        <f>F33+F34</f>
        <v>76.753</v>
      </c>
      <c r="G32" s="7"/>
      <c r="H32" s="28"/>
    </row>
    <row r="33" spans="1:8" s="4" customFormat="1" ht="18" customHeight="1">
      <c r="A33" s="18" t="s">
        <v>11</v>
      </c>
      <c r="B33" s="5">
        <f t="shared" si="0"/>
        <v>60.455</v>
      </c>
      <c r="C33" s="91">
        <f>июль!C33+'август факт'!C33+'сентябрь факт'!C33</f>
        <v>0</v>
      </c>
      <c r="D33" s="91">
        <f>июль!D33+'август факт'!D33+'сентябрь факт'!D33</f>
        <v>0</v>
      </c>
      <c r="E33" s="91">
        <f>июль!E33+'август факт'!E33+'сентябрь факт'!E33</f>
        <v>0</v>
      </c>
      <c r="F33" s="92">
        <f>июль!F33+'август факт'!F33+'сентябрь факт'!F33</f>
        <v>60.455</v>
      </c>
      <c r="G33" s="7"/>
      <c r="H33" s="28"/>
    </row>
    <row r="34" spans="1:8" s="4" customFormat="1" ht="18" customHeight="1">
      <c r="A34" s="18" t="s">
        <v>12</v>
      </c>
      <c r="B34" s="5">
        <f t="shared" si="0"/>
        <v>16.298000000000002</v>
      </c>
      <c r="C34" s="91">
        <f>июль!C34+'август факт'!C34+'сентябрь факт'!C34</f>
        <v>0</v>
      </c>
      <c r="D34" s="91">
        <f>июль!D34+'август факт'!D34+'сентябрь факт'!D34</f>
        <v>0</v>
      </c>
      <c r="E34" s="91">
        <f>июль!E34+'август факт'!E34+'сентябрь факт'!E34</f>
        <v>0</v>
      </c>
      <c r="F34" s="92">
        <f>июль!F34+'август факт'!F34+'сентябрь факт'!F34</f>
        <v>16.298000000000002</v>
      </c>
      <c r="G34" s="7"/>
      <c r="H34" s="28"/>
    </row>
    <row r="35" spans="1:8" s="4" customFormat="1" ht="25.5" customHeight="1">
      <c r="A35" s="75" t="s">
        <v>61</v>
      </c>
      <c r="B35" s="5">
        <f t="shared" si="0"/>
        <v>244.807</v>
      </c>
      <c r="C35" s="90">
        <f>C36+C37</f>
        <v>42.335</v>
      </c>
      <c r="D35" s="90"/>
      <c r="E35" s="90">
        <f>E36+E37</f>
        <v>26.743</v>
      </c>
      <c r="F35" s="105">
        <f>F36+F37</f>
        <v>175.72899999999998</v>
      </c>
      <c r="G35" s="7"/>
      <c r="H35" s="28"/>
    </row>
    <row r="36" spans="1:8" s="4" customFormat="1" ht="23.25" customHeight="1">
      <c r="A36" s="18" t="s">
        <v>13</v>
      </c>
      <c r="B36" s="5">
        <f t="shared" si="0"/>
        <v>204.463</v>
      </c>
      <c r="C36" s="88">
        <f>июль!C36+'август факт'!C36+'сентябрь факт'!C36</f>
        <v>42.335</v>
      </c>
      <c r="D36" s="88">
        <f>июль!D36+'август факт'!D36+'сентябрь факт'!D36</f>
        <v>0</v>
      </c>
      <c r="E36" s="88">
        <f>июль!E36+'август факт'!E36+'сентябрь факт'!E36</f>
        <v>15.652</v>
      </c>
      <c r="F36" s="89">
        <f>июль!F36+'август факт'!F36+'сентябрь факт'!F36</f>
        <v>146.476</v>
      </c>
      <c r="G36" s="7"/>
      <c r="H36" s="28"/>
    </row>
    <row r="37" spans="1:8" s="4" customFormat="1" ht="23.25" customHeight="1">
      <c r="A37" s="18" t="s">
        <v>10</v>
      </c>
      <c r="B37" s="5">
        <f t="shared" si="0"/>
        <v>40.344</v>
      </c>
      <c r="C37" s="88">
        <f>C38+C39</f>
        <v>0</v>
      </c>
      <c r="D37" s="90">
        <f>D38+D39</f>
        <v>0</v>
      </c>
      <c r="E37" s="90">
        <f>E38+E39</f>
        <v>11.091</v>
      </c>
      <c r="F37" s="105">
        <f>F38+F39</f>
        <v>29.253</v>
      </c>
      <c r="G37" s="7"/>
      <c r="H37" s="28"/>
    </row>
    <row r="38" spans="1:8" s="4" customFormat="1" ht="23.25" customHeight="1">
      <c r="A38" s="18" t="s">
        <v>11</v>
      </c>
      <c r="B38" s="5">
        <f t="shared" si="0"/>
        <v>0</v>
      </c>
      <c r="C38" s="91">
        <f>июль!C38+'август факт'!C38+'сентябрь факт'!C38</f>
        <v>0</v>
      </c>
      <c r="D38" s="91">
        <f>июль!D38+'август факт'!D38+'сентябрь факт'!D38</f>
        <v>0</v>
      </c>
      <c r="E38" s="91">
        <f>июль!E38+'август факт'!E38+'сентябрь факт'!E38</f>
        <v>0</v>
      </c>
      <c r="F38" s="92">
        <f>июль!F38+'август факт'!F38+'сентябрь факт'!F38</f>
        <v>0</v>
      </c>
      <c r="G38" s="7"/>
      <c r="H38" s="28"/>
    </row>
    <row r="39" spans="1:8" s="4" customFormat="1" ht="23.25" customHeight="1">
      <c r="A39" s="18" t="s">
        <v>12</v>
      </c>
      <c r="B39" s="5">
        <f t="shared" si="0"/>
        <v>40.344</v>
      </c>
      <c r="C39" s="91">
        <f>июль!C39+'август факт'!C39+'сентябрь факт'!C39</f>
        <v>0</v>
      </c>
      <c r="D39" s="91">
        <f>июль!D39+'август факт'!D39+'сентябрь факт'!D39</f>
        <v>0</v>
      </c>
      <c r="E39" s="91">
        <f>июль!E39+'август факт'!E39+'сентябрь факт'!E39</f>
        <v>11.091</v>
      </c>
      <c r="F39" s="92">
        <f>июль!F39+'август факт'!F39+'сентябрь факт'!F39</f>
        <v>29.253</v>
      </c>
      <c r="G39" s="7"/>
      <c r="H39" s="28"/>
    </row>
    <row r="40" spans="1:9" s="4" customFormat="1" ht="42" customHeight="1">
      <c r="A40" s="75" t="s">
        <v>26</v>
      </c>
      <c r="B40" s="5">
        <f>C40+D40+E40+F40</f>
        <v>183.599</v>
      </c>
      <c r="C40" s="90">
        <f>C41+C42</f>
        <v>13.003</v>
      </c>
      <c r="D40" s="90">
        <f>D41+D42</f>
        <v>0</v>
      </c>
      <c r="E40" s="90">
        <f>E41+E42</f>
        <v>170.596</v>
      </c>
      <c r="F40" s="105">
        <f>F41+F42</f>
        <v>0</v>
      </c>
      <c r="G40" s="7"/>
      <c r="H40" s="40"/>
      <c r="I40" s="7"/>
    </row>
    <row r="41" spans="1:8" s="4" customFormat="1" ht="19.5" customHeight="1">
      <c r="A41" s="18" t="s">
        <v>13</v>
      </c>
      <c r="B41" s="5">
        <f aca="true" t="shared" si="1" ref="B41:B100">C41+D41+E41+F41</f>
        <v>183.599</v>
      </c>
      <c r="C41" s="88">
        <f>июль!C41+'август факт'!C41+'сентябрь факт'!C41</f>
        <v>13.003</v>
      </c>
      <c r="D41" s="88">
        <f>июль!D41+'август факт'!D41+'сентябрь факт'!D41</f>
        <v>0</v>
      </c>
      <c r="E41" s="88">
        <f>июль!E41+'август факт'!E41+'сентябрь факт'!E41</f>
        <v>170.596</v>
      </c>
      <c r="F41" s="89">
        <f>июль!F41+'август факт'!F41+'сентябрь факт'!F41</f>
        <v>0</v>
      </c>
      <c r="G41" s="7"/>
      <c r="H41" s="40"/>
    </row>
    <row r="42" spans="1:8" s="4" customFormat="1" ht="19.5" customHeight="1">
      <c r="A42" s="18" t="s">
        <v>10</v>
      </c>
      <c r="B42" s="5">
        <f t="shared" si="1"/>
        <v>0</v>
      </c>
      <c r="C42" s="88">
        <f>C43+C44</f>
        <v>0</v>
      </c>
      <c r="D42" s="90">
        <f>D43+D44</f>
        <v>0</v>
      </c>
      <c r="E42" s="90">
        <f>E43+E44</f>
        <v>0</v>
      </c>
      <c r="F42" s="105">
        <f>F43+F44</f>
        <v>0</v>
      </c>
      <c r="G42" s="7"/>
      <c r="H42" s="40"/>
    </row>
    <row r="43" spans="1:8" s="4" customFormat="1" ht="19.5" customHeight="1">
      <c r="A43" s="18" t="s">
        <v>11</v>
      </c>
      <c r="B43" s="5">
        <f t="shared" si="1"/>
        <v>0</v>
      </c>
      <c r="C43" s="91">
        <f>июль!C43+'август факт'!C43+'сентябрь факт'!C43</f>
        <v>0</v>
      </c>
      <c r="D43" s="91">
        <f>июль!D43+'август факт'!D43+'сентябрь факт'!D43</f>
        <v>0</v>
      </c>
      <c r="E43" s="91">
        <f>июль!E43+'август факт'!E43+'сентябрь факт'!E43</f>
        <v>0</v>
      </c>
      <c r="F43" s="92">
        <f>июль!F43+'август факт'!F43+'сентябрь факт'!F43</f>
        <v>0</v>
      </c>
      <c r="G43" s="7"/>
      <c r="H43" s="40"/>
    </row>
    <row r="44" spans="1:8" s="4" customFormat="1" ht="19.5" customHeight="1">
      <c r="A44" s="18" t="s">
        <v>12</v>
      </c>
      <c r="B44" s="5">
        <f t="shared" si="1"/>
        <v>0</v>
      </c>
      <c r="C44" s="91">
        <f>июль!C44+'август факт'!C44+'сентябрь факт'!C44</f>
        <v>0</v>
      </c>
      <c r="D44" s="91">
        <f>июль!D44+'август факт'!D44+'сентябрь факт'!D44</f>
        <v>0</v>
      </c>
      <c r="E44" s="91">
        <f>июль!E44+'август факт'!E44+'сентябрь факт'!E44</f>
        <v>0</v>
      </c>
      <c r="F44" s="92">
        <f>июль!F44+'август факт'!F44+'сентябрь факт'!F44</f>
        <v>0</v>
      </c>
      <c r="G44" s="7"/>
      <c r="H44" s="40"/>
    </row>
    <row r="45" spans="1:8" s="4" customFormat="1" ht="24.75" customHeight="1">
      <c r="A45" s="31" t="s">
        <v>29</v>
      </c>
      <c r="B45" s="5">
        <f t="shared" si="1"/>
        <v>1339.964</v>
      </c>
      <c r="C45" s="90">
        <f>C46+C47</f>
        <v>0</v>
      </c>
      <c r="D45" s="88"/>
      <c r="E45" s="90">
        <f>E46+E47</f>
        <v>1104.281</v>
      </c>
      <c r="F45" s="105">
        <f>F46+F47</f>
        <v>235.683</v>
      </c>
      <c r="G45" s="13"/>
      <c r="H45" s="40"/>
    </row>
    <row r="46" spans="1:8" s="4" customFormat="1" ht="24.75" customHeight="1">
      <c r="A46" s="18" t="s">
        <v>13</v>
      </c>
      <c r="B46" s="5">
        <f t="shared" si="1"/>
        <v>1339.964</v>
      </c>
      <c r="C46" s="88">
        <f>июль!C46+'август факт'!C46+'сентябрь факт'!C46</f>
        <v>0</v>
      </c>
      <c r="D46" s="88">
        <f>июль!D46+'август факт'!D46+'сентябрь факт'!D46</f>
        <v>0</v>
      </c>
      <c r="E46" s="88">
        <f>июль!E46+'август факт'!E46+'сентябрь факт'!E46</f>
        <v>1104.281</v>
      </c>
      <c r="F46" s="89">
        <f>июль!F46+'август факт'!F46+'сентябрь факт'!F46</f>
        <v>235.683</v>
      </c>
      <c r="G46" s="13"/>
      <c r="H46" s="40"/>
    </row>
    <row r="47" spans="1:8" s="4" customFormat="1" ht="24.75" customHeight="1">
      <c r="A47" s="18" t="s">
        <v>10</v>
      </c>
      <c r="B47" s="5">
        <f t="shared" si="1"/>
        <v>0</v>
      </c>
      <c r="C47" s="88">
        <f>C48+C49</f>
        <v>0</v>
      </c>
      <c r="D47" s="90">
        <f>D48+D49</f>
        <v>0</v>
      </c>
      <c r="E47" s="90">
        <f>E48+E49</f>
        <v>0</v>
      </c>
      <c r="F47" s="105">
        <f>F48+F49</f>
        <v>0</v>
      </c>
      <c r="G47" s="13"/>
      <c r="H47" s="40"/>
    </row>
    <row r="48" spans="1:8" s="4" customFormat="1" ht="24.75" customHeight="1">
      <c r="A48" s="18" t="s">
        <v>11</v>
      </c>
      <c r="B48" s="5">
        <f t="shared" si="1"/>
        <v>0</v>
      </c>
      <c r="C48" s="91">
        <f>июль!C48+'август факт'!C48+'сентябрь факт'!C48</f>
        <v>0</v>
      </c>
      <c r="D48" s="91">
        <f>июль!D48+'август факт'!D48+'сентябрь факт'!D48</f>
        <v>0</v>
      </c>
      <c r="E48" s="91">
        <f>июль!E48+'август факт'!E48+'сентябрь факт'!E48</f>
        <v>0</v>
      </c>
      <c r="F48" s="92">
        <f>июль!F48+'август факт'!F48+'сентябрь факт'!F48</f>
        <v>0</v>
      </c>
      <c r="G48" s="13"/>
      <c r="H48" s="40"/>
    </row>
    <row r="49" spans="1:8" s="4" customFormat="1" ht="24.75" customHeight="1">
      <c r="A49" s="18" t="s">
        <v>12</v>
      </c>
      <c r="B49" s="5">
        <f t="shared" si="1"/>
        <v>0</v>
      </c>
      <c r="C49" s="91">
        <f>июль!C49+'август факт'!C49+'сентябрь факт'!C49</f>
        <v>0</v>
      </c>
      <c r="D49" s="91">
        <f>июль!D49+'август факт'!D49+'сентябрь факт'!D49</f>
        <v>0</v>
      </c>
      <c r="E49" s="91">
        <f>июль!E49+'август факт'!E49+'сентябрь факт'!E49</f>
        <v>0</v>
      </c>
      <c r="F49" s="92">
        <f>июль!F49+'август факт'!F49+'сентябрь факт'!F49</f>
        <v>0</v>
      </c>
      <c r="G49" s="13"/>
      <c r="H49" s="40"/>
    </row>
    <row r="50" spans="1:8" s="4" customFormat="1" ht="24.75" customHeight="1">
      <c r="A50" s="31" t="s">
        <v>4</v>
      </c>
      <c r="B50" s="5">
        <f t="shared" si="1"/>
        <v>2084.724</v>
      </c>
      <c r="C50" s="90">
        <f>C51+C52</f>
        <v>2084.724</v>
      </c>
      <c r="D50" s="90"/>
      <c r="E50" s="90">
        <f>E51+E52</f>
        <v>0</v>
      </c>
      <c r="F50" s="105">
        <f>F51+F52</f>
        <v>0</v>
      </c>
      <c r="G50" s="13"/>
      <c r="H50" s="40"/>
    </row>
    <row r="51" spans="1:8" s="4" customFormat="1" ht="24.75" customHeight="1">
      <c r="A51" s="18" t="s">
        <v>13</v>
      </c>
      <c r="B51" s="5">
        <f t="shared" si="1"/>
        <v>2084.724</v>
      </c>
      <c r="C51" s="88">
        <f>июль!C51+'август факт'!C51+'сентябрь факт'!C51</f>
        <v>2084.724</v>
      </c>
      <c r="D51" s="88">
        <f>июль!D51+'август факт'!D51+'сентябрь факт'!D51</f>
        <v>0</v>
      </c>
      <c r="E51" s="88">
        <f>июль!E51+'август факт'!E51+'сентябрь факт'!E51</f>
        <v>0</v>
      </c>
      <c r="F51" s="89">
        <f>июль!F51+'август факт'!F51+'сентябрь факт'!F51</f>
        <v>0</v>
      </c>
      <c r="G51" s="13"/>
      <c r="H51" s="40"/>
    </row>
    <row r="52" spans="1:8" s="4" customFormat="1" ht="24.75" customHeight="1">
      <c r="A52" s="18" t="s">
        <v>10</v>
      </c>
      <c r="B52" s="5">
        <f t="shared" si="1"/>
        <v>0</v>
      </c>
      <c r="C52" s="88">
        <f>C53+C54</f>
        <v>0</v>
      </c>
      <c r="D52" s="90">
        <f>D53+D54</f>
        <v>0</v>
      </c>
      <c r="E52" s="90">
        <f>E53+E54</f>
        <v>0</v>
      </c>
      <c r="F52" s="105">
        <f>F53+F54</f>
        <v>0</v>
      </c>
      <c r="G52" s="13"/>
      <c r="H52" s="40"/>
    </row>
    <row r="53" spans="1:8" s="4" customFormat="1" ht="24.75" customHeight="1">
      <c r="A53" s="18" t="s">
        <v>11</v>
      </c>
      <c r="B53" s="5">
        <f t="shared" si="1"/>
        <v>0</v>
      </c>
      <c r="C53" s="91">
        <f>июль!C53+'август факт'!C53+'сентябрь факт'!C53</f>
        <v>0</v>
      </c>
      <c r="D53" s="91">
        <f>июль!D53+'август факт'!D53+'сентябрь факт'!D53</f>
        <v>0</v>
      </c>
      <c r="E53" s="91">
        <f>июль!E53+'август факт'!E53+'сентябрь факт'!E53</f>
        <v>0</v>
      </c>
      <c r="F53" s="92">
        <f>июль!F53+'август факт'!F53+'сентябрь факт'!F53</f>
        <v>0</v>
      </c>
      <c r="G53" s="13"/>
      <c r="H53" s="40"/>
    </row>
    <row r="54" spans="1:8" s="4" customFormat="1" ht="24.75" customHeight="1">
      <c r="A54" s="18" t="s">
        <v>12</v>
      </c>
      <c r="B54" s="5">
        <f t="shared" si="1"/>
        <v>0</v>
      </c>
      <c r="C54" s="91">
        <f>июль!C54+'август факт'!C54+'сентябрь факт'!C54</f>
        <v>0</v>
      </c>
      <c r="D54" s="91">
        <f>июль!D54+'август факт'!D54+'сентябрь факт'!D54</f>
        <v>0</v>
      </c>
      <c r="E54" s="91">
        <f>июль!E54+'август факт'!E54+'сентябрь факт'!E54</f>
        <v>0</v>
      </c>
      <c r="F54" s="92">
        <f>июль!F54+'август факт'!F54+'сентябрь факт'!F54</f>
        <v>0</v>
      </c>
      <c r="G54" s="13"/>
      <c r="H54" s="40"/>
    </row>
    <row r="55" spans="1:8" s="4" customFormat="1" ht="50.25" customHeight="1">
      <c r="A55" s="75" t="s">
        <v>62</v>
      </c>
      <c r="B55" s="5">
        <f t="shared" si="1"/>
        <v>0</v>
      </c>
      <c r="C55" s="90">
        <f>C56+C57</f>
        <v>0</v>
      </c>
      <c r="D55" s="88"/>
      <c r="E55" s="88"/>
      <c r="F55" s="89"/>
      <c r="G55" s="13"/>
      <c r="H55" s="40"/>
    </row>
    <row r="56" spans="1:8" s="4" customFormat="1" ht="26.25" customHeight="1">
      <c r="A56" s="18" t="s">
        <v>13</v>
      </c>
      <c r="B56" s="5">
        <f t="shared" si="1"/>
        <v>1122.9560000000001</v>
      </c>
      <c r="C56" s="88">
        <f>июль!C56+'август факт'!C56+'сентябрь факт'!C56</f>
        <v>0</v>
      </c>
      <c r="D56" s="88">
        <f>июль!D56+'август факт'!D56+'сентябрь факт'!D56</f>
        <v>0</v>
      </c>
      <c r="E56" s="88">
        <f>июль!E56+'август факт'!E56+'сентябрь факт'!E56</f>
        <v>791.8100000000002</v>
      </c>
      <c r="F56" s="89">
        <f>июль!F56+'август факт'!F56+'сентябрь факт'!F56</f>
        <v>331.14599999999996</v>
      </c>
      <c r="G56" s="13"/>
      <c r="H56" s="40"/>
    </row>
    <row r="57" spans="1:8" s="4" customFormat="1" ht="26.25" customHeight="1">
      <c r="A57" s="18" t="s">
        <v>10</v>
      </c>
      <c r="B57" s="5">
        <f t="shared" si="1"/>
        <v>919.8999999999999</v>
      </c>
      <c r="C57" s="88">
        <f>C58+C59</f>
        <v>0</v>
      </c>
      <c r="D57" s="90">
        <f>D58+D59</f>
        <v>0</v>
      </c>
      <c r="E57" s="90">
        <f>E58+E59</f>
        <v>0</v>
      </c>
      <c r="F57" s="105">
        <f>F58+F59</f>
        <v>919.8999999999999</v>
      </c>
      <c r="G57" s="13"/>
      <c r="H57" s="40"/>
    </row>
    <row r="58" spans="1:8" s="4" customFormat="1" ht="26.25" customHeight="1">
      <c r="A58" s="18" t="s">
        <v>11</v>
      </c>
      <c r="B58" s="5">
        <f t="shared" si="1"/>
        <v>806.8319999999999</v>
      </c>
      <c r="C58" s="91">
        <f>июль!C58+'август факт'!C58+'сентябрь факт'!C58</f>
        <v>0</v>
      </c>
      <c r="D58" s="91">
        <f>июль!D58+'август факт'!D58+'сентябрь факт'!D58</f>
        <v>0</v>
      </c>
      <c r="E58" s="91">
        <f>июль!E58+'август факт'!E58+'сентябрь факт'!E58</f>
        <v>0</v>
      </c>
      <c r="F58" s="92">
        <f>июль!F58+'август факт'!F58+'сентябрь факт'!F58</f>
        <v>806.8319999999999</v>
      </c>
      <c r="G58" s="13"/>
      <c r="H58" s="40"/>
    </row>
    <row r="59" spans="1:8" s="4" customFormat="1" ht="26.25" customHeight="1">
      <c r="A59" s="18" t="s">
        <v>12</v>
      </c>
      <c r="B59" s="5">
        <f t="shared" si="1"/>
        <v>113.068</v>
      </c>
      <c r="C59" s="91">
        <f>июль!C59+'август факт'!C59+'сентябрь факт'!C59</f>
        <v>0</v>
      </c>
      <c r="D59" s="91">
        <f>июль!D59+'август факт'!D59+'сентябрь факт'!D59</f>
        <v>0</v>
      </c>
      <c r="E59" s="91">
        <f>июль!E59+'август факт'!E59+'сентябрь факт'!E59</f>
        <v>0</v>
      </c>
      <c r="F59" s="92">
        <f>июль!F59+'август факт'!F59+'сентябрь факт'!F59</f>
        <v>113.068</v>
      </c>
      <c r="G59" s="13"/>
      <c r="H59" s="40"/>
    </row>
    <row r="60" spans="1:8" s="4" customFormat="1" ht="24.75" customHeight="1">
      <c r="A60" s="75" t="s">
        <v>28</v>
      </c>
      <c r="B60" s="5">
        <f t="shared" si="1"/>
        <v>6236.27</v>
      </c>
      <c r="C60" s="90">
        <f>C61+C62</f>
        <v>6209.67</v>
      </c>
      <c r="D60" s="90">
        <f>D61+D62</f>
        <v>0</v>
      </c>
      <c r="E60" s="90">
        <f>E61+E62</f>
        <v>0</v>
      </c>
      <c r="F60" s="105">
        <f>F61+F62</f>
        <v>26.6</v>
      </c>
      <c r="G60" s="7"/>
      <c r="H60" s="40"/>
    </row>
    <row r="61" spans="1:8" s="4" customFormat="1" ht="21.75" customHeight="1">
      <c r="A61" s="18" t="s">
        <v>13</v>
      </c>
      <c r="B61" s="5">
        <f t="shared" si="1"/>
        <v>6236.27</v>
      </c>
      <c r="C61" s="88">
        <f>июль!C61+'август факт'!C61+'сентябрь факт'!C61</f>
        <v>6209.67</v>
      </c>
      <c r="D61" s="88">
        <f>июль!D61+'август факт'!D61+'сентябрь факт'!D61</f>
        <v>0</v>
      </c>
      <c r="E61" s="88">
        <f>июль!E61+'август факт'!E61+'сентябрь факт'!E61</f>
        <v>0</v>
      </c>
      <c r="F61" s="89">
        <f>июль!F61+'август факт'!F61+'сентябрь факт'!F61</f>
        <v>26.6</v>
      </c>
      <c r="G61" s="7"/>
      <c r="H61" s="36"/>
    </row>
    <row r="62" spans="1:8" s="4" customFormat="1" ht="16.5" customHeight="1">
      <c r="A62" s="18" t="s">
        <v>10</v>
      </c>
      <c r="B62" s="5">
        <f t="shared" si="1"/>
        <v>0</v>
      </c>
      <c r="C62" s="88">
        <f>C63+C64</f>
        <v>0</v>
      </c>
      <c r="D62" s="90">
        <f>D63+D64</f>
        <v>0</v>
      </c>
      <c r="E62" s="90">
        <f>E63+E64</f>
        <v>0</v>
      </c>
      <c r="F62" s="105">
        <f>F63+F64</f>
        <v>0</v>
      </c>
      <c r="G62" s="7"/>
      <c r="H62" s="36"/>
    </row>
    <row r="63" spans="1:8" s="4" customFormat="1" ht="18" customHeight="1">
      <c r="A63" s="18" t="s">
        <v>11</v>
      </c>
      <c r="B63" s="5">
        <f t="shared" si="1"/>
        <v>0</v>
      </c>
      <c r="C63" s="91">
        <f>июль!C63+'август факт'!C63+'сентябрь факт'!C63</f>
        <v>0</v>
      </c>
      <c r="D63" s="91">
        <f>июль!D63+'август факт'!D63+'сентябрь факт'!D63</f>
        <v>0</v>
      </c>
      <c r="E63" s="91">
        <f>июль!E63+'август факт'!E63+'сентябрь факт'!E63</f>
        <v>0</v>
      </c>
      <c r="F63" s="92">
        <f>июль!F63+'август факт'!F63+'сентябрь факт'!F63</f>
        <v>0</v>
      </c>
      <c r="G63" s="7"/>
      <c r="H63" s="36"/>
    </row>
    <row r="64" spans="1:8" s="4" customFormat="1" ht="18" customHeight="1">
      <c r="A64" s="18" t="s">
        <v>12</v>
      </c>
      <c r="B64" s="5">
        <f t="shared" si="1"/>
        <v>0</v>
      </c>
      <c r="C64" s="91">
        <f>июль!C64+'август факт'!C64+'сентябрь факт'!C64</f>
        <v>0</v>
      </c>
      <c r="D64" s="91">
        <f>июль!D64+'август факт'!D64+'сентябрь факт'!D64</f>
        <v>0</v>
      </c>
      <c r="E64" s="91">
        <f>июль!E64+'август факт'!E64+'сентябрь факт'!E64</f>
        <v>0</v>
      </c>
      <c r="F64" s="92">
        <f>июль!F64+'август факт'!F64+'сентябрь факт'!F64</f>
        <v>0</v>
      </c>
      <c r="G64" s="7"/>
      <c r="H64" s="36"/>
    </row>
    <row r="65" spans="1:8" s="4" customFormat="1" ht="24.75" customHeight="1">
      <c r="A65" s="75" t="s">
        <v>63</v>
      </c>
      <c r="B65" s="5">
        <f t="shared" si="1"/>
        <v>0</v>
      </c>
      <c r="C65" s="90">
        <f>C66+C67</f>
        <v>0</v>
      </c>
      <c r="D65" s="90"/>
      <c r="E65" s="90">
        <f>E66+E67</f>
        <v>0</v>
      </c>
      <c r="F65" s="105">
        <f>F66+F67</f>
        <v>0</v>
      </c>
      <c r="G65" s="7"/>
      <c r="H65" s="36"/>
    </row>
    <row r="66" spans="1:8" s="4" customFormat="1" ht="21.75" customHeight="1">
      <c r="A66" s="18" t="s">
        <v>13</v>
      </c>
      <c r="B66" s="5">
        <f t="shared" si="1"/>
        <v>0</v>
      </c>
      <c r="C66" s="88">
        <f>июль!C66+'август факт'!C66+'сентябрь факт'!C66</f>
        <v>0</v>
      </c>
      <c r="D66" s="88">
        <f>июль!D66+'август факт'!D66+'сентябрь факт'!D66</f>
        <v>0</v>
      </c>
      <c r="E66" s="88">
        <f>июль!E66+'август факт'!E66+'сентябрь факт'!E66</f>
        <v>0</v>
      </c>
      <c r="F66" s="89">
        <f>июль!F66+'август факт'!F66+'сентябрь факт'!F66</f>
        <v>0</v>
      </c>
      <c r="G66" s="7"/>
      <c r="H66" s="36"/>
    </row>
    <row r="67" spans="1:8" s="4" customFormat="1" ht="18" customHeight="1">
      <c r="A67" s="18" t="s">
        <v>10</v>
      </c>
      <c r="B67" s="5">
        <f t="shared" si="1"/>
        <v>0</v>
      </c>
      <c r="C67" s="88">
        <f>C68+C69</f>
        <v>0</v>
      </c>
      <c r="D67" s="90">
        <f>D68+D69</f>
        <v>0</v>
      </c>
      <c r="E67" s="90">
        <f>E68+E69</f>
        <v>0</v>
      </c>
      <c r="F67" s="105">
        <f>F68+F69</f>
        <v>0</v>
      </c>
      <c r="G67" s="7"/>
      <c r="H67" s="36"/>
    </row>
    <row r="68" spans="1:8" s="4" customFormat="1" ht="19.5" customHeight="1">
      <c r="A68" s="18" t="s">
        <v>11</v>
      </c>
      <c r="B68" s="5">
        <f t="shared" si="1"/>
        <v>0</v>
      </c>
      <c r="C68" s="91">
        <f>июль!C68+'август факт'!C68+'сентябрь факт'!C68</f>
        <v>0</v>
      </c>
      <c r="D68" s="91">
        <f>июль!D68+'август факт'!D68+'сентябрь факт'!D68</f>
        <v>0</v>
      </c>
      <c r="E68" s="91">
        <f>июль!E68+'август факт'!E68+'сентябрь факт'!E68</f>
        <v>0</v>
      </c>
      <c r="F68" s="92">
        <f>июль!F68+'август факт'!F68+'сентябрь факт'!F68</f>
        <v>0</v>
      </c>
      <c r="G68" s="7"/>
      <c r="H68" s="36"/>
    </row>
    <row r="69" spans="1:8" s="4" customFormat="1" ht="19.5" customHeight="1">
      <c r="A69" s="18" t="s">
        <v>12</v>
      </c>
      <c r="B69" s="5">
        <f t="shared" si="1"/>
        <v>0</v>
      </c>
      <c r="C69" s="91">
        <f>июль!C69+'август факт'!C69+'сентябрь факт'!C69</f>
        <v>0</v>
      </c>
      <c r="D69" s="91">
        <f>июль!D69+'август факт'!D69+'сентябрь факт'!D69</f>
        <v>0</v>
      </c>
      <c r="E69" s="91">
        <f>июль!E69+'август факт'!E69+'сентябрь факт'!E69</f>
        <v>0</v>
      </c>
      <c r="F69" s="92">
        <f>июль!F69+'август факт'!F69+'сентябрь факт'!F69</f>
        <v>0</v>
      </c>
      <c r="G69" s="7"/>
      <c r="H69" s="36"/>
    </row>
    <row r="70" spans="1:8" s="7" customFormat="1" ht="38.25" customHeight="1">
      <c r="A70" s="75" t="s">
        <v>25</v>
      </c>
      <c r="B70" s="5">
        <f t="shared" si="1"/>
        <v>184.358</v>
      </c>
      <c r="C70" s="90">
        <f>C71+C72</f>
        <v>0</v>
      </c>
      <c r="D70" s="90">
        <f>D71+D72</f>
        <v>0</v>
      </c>
      <c r="E70" s="90">
        <f>E71+E72</f>
        <v>0</v>
      </c>
      <c r="F70" s="105">
        <f>F71+F72</f>
        <v>184.358</v>
      </c>
      <c r="H70" s="28"/>
    </row>
    <row r="71" spans="1:6" ht="18.75">
      <c r="A71" s="18" t="s">
        <v>13</v>
      </c>
      <c r="B71" s="5">
        <f t="shared" si="1"/>
        <v>21.258</v>
      </c>
      <c r="C71" s="88">
        <f>июль!C71+'август факт'!C71+'сентябрь факт'!C71</f>
        <v>0</v>
      </c>
      <c r="D71" s="88">
        <f>июль!D71+'август факт'!D71+'сентябрь факт'!D71</f>
        <v>0</v>
      </c>
      <c r="E71" s="88">
        <f>июль!E71+'август факт'!E71+'сентябрь факт'!E71</f>
        <v>0</v>
      </c>
      <c r="F71" s="89">
        <f>июль!F71+'август факт'!F71+'сентябрь факт'!F71</f>
        <v>21.258</v>
      </c>
    </row>
    <row r="72" spans="1:6" ht="18.75">
      <c r="A72" s="18" t="s">
        <v>10</v>
      </c>
      <c r="B72" s="5">
        <f t="shared" si="1"/>
        <v>163.1</v>
      </c>
      <c r="C72" s="88">
        <f>C73+C74</f>
        <v>0</v>
      </c>
      <c r="D72" s="90">
        <f>D73+D74</f>
        <v>0</v>
      </c>
      <c r="E72" s="90">
        <f>E73+E74</f>
        <v>0</v>
      </c>
      <c r="F72" s="105">
        <f>F73+F74</f>
        <v>163.1</v>
      </c>
    </row>
    <row r="73" spans="1:8" s="81" customFormat="1" ht="23.25" customHeight="1">
      <c r="A73" s="18" t="s">
        <v>11</v>
      </c>
      <c r="B73" s="5">
        <f t="shared" si="1"/>
        <v>163.1</v>
      </c>
      <c r="C73" s="91">
        <f>июль!C73+'август факт'!C73+'сентябрь факт'!C73</f>
        <v>0</v>
      </c>
      <c r="D73" s="91">
        <f>июль!D73+'август факт'!D73+'сентябрь факт'!D73</f>
        <v>0</v>
      </c>
      <c r="E73" s="91">
        <f>июль!E73+'август факт'!E73+'сентябрь факт'!E73</f>
        <v>0</v>
      </c>
      <c r="F73" s="92">
        <f>июль!F73+'август факт'!F73+'сентябрь факт'!F73</f>
        <v>163.1</v>
      </c>
      <c r="G73" s="7"/>
      <c r="H73" s="78"/>
    </row>
    <row r="74" spans="1:8" s="81" customFormat="1" ht="23.25" customHeight="1">
      <c r="A74" s="18" t="s">
        <v>12</v>
      </c>
      <c r="B74" s="5">
        <f t="shared" si="1"/>
        <v>0</v>
      </c>
      <c r="C74" s="91">
        <f>июль!C74+'август факт'!C74+'сентябрь факт'!C74</f>
        <v>0</v>
      </c>
      <c r="D74" s="91">
        <f>июль!D74+'август факт'!D74+'сентябрь факт'!D74</f>
        <v>0</v>
      </c>
      <c r="E74" s="91">
        <f>июль!E74+'август факт'!E74+'сентябрь факт'!E74</f>
        <v>0</v>
      </c>
      <c r="F74" s="92">
        <f>июль!F74+'август факт'!F74+'сентябрь факт'!F74</f>
        <v>0</v>
      </c>
      <c r="G74" s="7"/>
      <c r="H74" s="79"/>
    </row>
    <row r="75" spans="1:8" s="81" customFormat="1" ht="45.75" customHeight="1">
      <c r="A75" s="75" t="s">
        <v>64</v>
      </c>
      <c r="B75" s="5">
        <f t="shared" si="1"/>
        <v>680.5570000000001</v>
      </c>
      <c r="C75" s="90">
        <f>C76+C77</f>
        <v>0</v>
      </c>
      <c r="D75" s="90"/>
      <c r="E75" s="90">
        <f>E76+E77</f>
        <v>36.677</v>
      </c>
      <c r="F75" s="105">
        <f>F76+F77</f>
        <v>643.8800000000001</v>
      </c>
      <c r="G75" s="7"/>
      <c r="H75" s="80"/>
    </row>
    <row r="76" spans="1:8" s="81" customFormat="1" ht="26.25" customHeight="1">
      <c r="A76" s="18" t="s">
        <v>13</v>
      </c>
      <c r="B76" s="5">
        <f t="shared" si="1"/>
        <v>189.883</v>
      </c>
      <c r="C76" s="88">
        <f>июль!C76+'август факт'!C76+'сентябрь факт'!C76</f>
        <v>0</v>
      </c>
      <c r="D76" s="88">
        <f>июль!D76+'август факт'!D76+'сентябрь факт'!D76</f>
        <v>0</v>
      </c>
      <c r="E76" s="88">
        <f>июль!E76+'август факт'!E76+'сентябрь факт'!E76</f>
        <v>36.677</v>
      </c>
      <c r="F76" s="89">
        <f>июль!F76+'август факт'!F76+'сентябрь факт'!F76</f>
        <v>153.20600000000002</v>
      </c>
      <c r="G76" s="58"/>
      <c r="H76" s="80"/>
    </row>
    <row r="77" spans="1:8" s="81" customFormat="1" ht="23.25" customHeight="1">
      <c r="A77" s="18" t="s">
        <v>10</v>
      </c>
      <c r="B77" s="5">
        <f t="shared" si="1"/>
        <v>490.67400000000004</v>
      </c>
      <c r="C77" s="88">
        <f>C78+C79</f>
        <v>0</v>
      </c>
      <c r="D77" s="90">
        <f>D78+D79</f>
        <v>0</v>
      </c>
      <c r="E77" s="90">
        <f>E78+E79</f>
        <v>0</v>
      </c>
      <c r="F77" s="105">
        <f>F78+F79</f>
        <v>490.67400000000004</v>
      </c>
      <c r="G77" s="7"/>
      <c r="H77" s="36"/>
    </row>
    <row r="78" spans="1:8" s="81" customFormat="1" ht="23.25" customHeight="1">
      <c r="A78" s="18" t="s">
        <v>11</v>
      </c>
      <c r="B78" s="5">
        <f t="shared" si="1"/>
        <v>0</v>
      </c>
      <c r="C78" s="91">
        <f>июль!C78+'август факт'!C78+'сентябрь факт'!C78</f>
        <v>0</v>
      </c>
      <c r="D78" s="91">
        <f>июль!D78+'август факт'!D78+'сентябрь факт'!D78</f>
        <v>0</v>
      </c>
      <c r="E78" s="91">
        <f>июль!E78+'август факт'!E78+'сентябрь факт'!E78</f>
        <v>0</v>
      </c>
      <c r="F78" s="92">
        <f>июль!F78+'август факт'!F78+'сентябрь факт'!F78</f>
        <v>0</v>
      </c>
      <c r="G78" s="59"/>
      <c r="H78" s="36"/>
    </row>
    <row r="79" spans="1:8" s="81" customFormat="1" ht="23.25" customHeight="1">
      <c r="A79" s="18" t="s">
        <v>12</v>
      </c>
      <c r="B79" s="5">
        <f t="shared" si="1"/>
        <v>490.67400000000004</v>
      </c>
      <c r="C79" s="91">
        <f>июль!C79+'август факт'!C79+'сентябрь факт'!C79</f>
        <v>0</v>
      </c>
      <c r="D79" s="91">
        <f>июль!D79+'август факт'!D79+'сентябрь факт'!D79</f>
        <v>0</v>
      </c>
      <c r="E79" s="91">
        <f>июль!E79+'август факт'!E79+'сентябрь факт'!E79</f>
        <v>0</v>
      </c>
      <c r="F79" s="92">
        <f>июль!F79+'август факт'!F79+'сентябрь факт'!F79</f>
        <v>490.67400000000004</v>
      </c>
      <c r="G79" s="7"/>
      <c r="H79" s="36"/>
    </row>
    <row r="80" spans="1:8" s="81" customFormat="1" ht="23.25" customHeight="1">
      <c r="A80" s="75" t="s">
        <v>8</v>
      </c>
      <c r="B80" s="5">
        <f t="shared" si="1"/>
        <v>2912.6259999999997</v>
      </c>
      <c r="C80" s="90">
        <f>C81+C82</f>
        <v>0</v>
      </c>
      <c r="D80" s="90">
        <f>D81+D82</f>
        <v>0</v>
      </c>
      <c r="E80" s="90">
        <f>E81+E82</f>
        <v>1689.3229999999999</v>
      </c>
      <c r="F80" s="105">
        <f>F81+F82</f>
        <v>1223.3029999999999</v>
      </c>
      <c r="G80" s="7"/>
      <c r="H80" s="36"/>
    </row>
    <row r="81" spans="1:8" s="81" customFormat="1" ht="33" customHeight="1">
      <c r="A81" s="18" t="s">
        <v>13</v>
      </c>
      <c r="B81" s="5">
        <f t="shared" si="1"/>
        <v>1530.1509999999998</v>
      </c>
      <c r="C81" s="88">
        <f>июль!C81+'август факт'!C81+'сентябрь факт'!C81</f>
        <v>0</v>
      </c>
      <c r="D81" s="88">
        <f>июль!D81+'август факт'!D81+'сентябрь факт'!D81</f>
        <v>0</v>
      </c>
      <c r="E81" s="88">
        <f>июль!E81+'август факт'!E81+'сентябрь факт'!E81</f>
        <v>1214.8049999999998</v>
      </c>
      <c r="F81" s="89">
        <f>июль!F81+'август факт'!F81+'сентябрь факт'!F81</f>
        <v>315.346</v>
      </c>
      <c r="G81" s="7"/>
      <c r="H81" s="28"/>
    </row>
    <row r="82" spans="1:6" s="81" customFormat="1" ht="38.25" customHeight="1">
      <c r="A82" s="18" t="s">
        <v>10</v>
      </c>
      <c r="B82" s="5">
        <f t="shared" si="1"/>
        <v>1382.475</v>
      </c>
      <c r="C82" s="88">
        <f>C83+C84</f>
        <v>0</v>
      </c>
      <c r="D82" s="90">
        <f>D83+D84</f>
        <v>0</v>
      </c>
      <c r="E82" s="90">
        <f>E83+E84</f>
        <v>474.51800000000003</v>
      </c>
      <c r="F82" s="105">
        <f>F83+F84</f>
        <v>907.9569999999999</v>
      </c>
    </row>
    <row r="83" spans="1:6" ht="18.75">
      <c r="A83" s="18" t="s">
        <v>11</v>
      </c>
      <c r="B83" s="5">
        <f t="shared" si="1"/>
        <v>1126.57</v>
      </c>
      <c r="C83" s="91">
        <f>июль!C83+'август факт'!C83+'сентябрь факт'!C83</f>
        <v>0</v>
      </c>
      <c r="D83" s="91">
        <f>июль!D83+'август факт'!D83+'сентябрь факт'!D83</f>
        <v>0</v>
      </c>
      <c r="E83" s="91">
        <f>июль!E83+'август факт'!E83+'сентябрь факт'!E83</f>
        <v>468.797</v>
      </c>
      <c r="F83" s="92">
        <f>июль!F83+'август факт'!F83+'сентябрь факт'!F83</f>
        <v>657.7729999999999</v>
      </c>
    </row>
    <row r="84" spans="1:6" ht="18.75">
      <c r="A84" s="18" t="s">
        <v>12</v>
      </c>
      <c r="B84" s="5">
        <f t="shared" si="1"/>
        <v>255.905</v>
      </c>
      <c r="C84" s="91">
        <f>июль!C84+'август факт'!C84+'сентябрь факт'!C84</f>
        <v>0</v>
      </c>
      <c r="D84" s="91">
        <f>июль!D84+'август факт'!D84+'сентябрь факт'!D84</f>
        <v>0</v>
      </c>
      <c r="E84" s="91">
        <f>июль!E84+'август факт'!E84+'сентябрь факт'!E84</f>
        <v>5.721</v>
      </c>
      <c r="F84" s="92">
        <f>июль!F84+'август факт'!F84+'сентябрь факт'!F84</f>
        <v>250.184</v>
      </c>
    </row>
    <row r="85" spans="1:6" ht="18">
      <c r="A85" s="75" t="s">
        <v>5</v>
      </c>
      <c r="B85" s="5">
        <f t="shared" si="1"/>
        <v>8113.691</v>
      </c>
      <c r="C85" s="90">
        <f>C86+C87</f>
        <v>1090.0710000000001</v>
      </c>
      <c r="D85" s="88"/>
      <c r="E85" s="90">
        <f>E86+E87</f>
        <v>4175.838</v>
      </c>
      <c r="F85" s="105">
        <f>F86+F87</f>
        <v>2847.782</v>
      </c>
    </row>
    <row r="86" spans="1:6" ht="18.75">
      <c r="A86" s="18" t="s">
        <v>13</v>
      </c>
      <c r="B86" s="5">
        <f t="shared" si="1"/>
        <v>5127.054</v>
      </c>
      <c r="C86" s="88">
        <f>июль!C86+'август факт'!C86+'сентябрь факт'!C86</f>
        <v>1090.0710000000001</v>
      </c>
      <c r="D86" s="88">
        <f>июль!D86+'август факт'!D86+'сентябрь факт'!D86</f>
        <v>0</v>
      </c>
      <c r="E86" s="88">
        <f>июль!E86+'август факт'!E86+'сентябрь факт'!E86</f>
        <v>2656.202</v>
      </c>
      <c r="F86" s="89">
        <f>июль!F86+'август факт'!F86+'сентябрь факт'!F86</f>
        <v>1380.781</v>
      </c>
    </row>
    <row r="87" spans="1:6" ht="18.75">
      <c r="A87" s="18" t="s">
        <v>10</v>
      </c>
      <c r="B87" s="5">
        <f t="shared" si="1"/>
        <v>2986.6369999999997</v>
      </c>
      <c r="C87" s="88">
        <f>C88+C89</f>
        <v>0</v>
      </c>
      <c r="D87" s="90">
        <f>D88+D89</f>
        <v>0</v>
      </c>
      <c r="E87" s="90">
        <f>E88+E89</f>
        <v>1519.636</v>
      </c>
      <c r="F87" s="105">
        <f>F88+F89</f>
        <v>1467.001</v>
      </c>
    </row>
    <row r="88" spans="1:6" ht="18.75">
      <c r="A88" s="18" t="s">
        <v>11</v>
      </c>
      <c r="B88" s="5">
        <f t="shared" si="1"/>
        <v>2969.837</v>
      </c>
      <c r="C88" s="91">
        <f>июль!C88+'август факт'!C88+'сентябрь факт'!C88</f>
        <v>0</v>
      </c>
      <c r="D88" s="91">
        <f>июль!D88+'август факт'!D88+'сентябрь факт'!D88</f>
        <v>0</v>
      </c>
      <c r="E88" s="91">
        <f>июль!E88+'август факт'!E88+'сентябрь факт'!E88</f>
        <v>1502.836</v>
      </c>
      <c r="F88" s="92">
        <f>июль!F88+'август факт'!F88+'сентябрь факт'!F88</f>
        <v>1467.001</v>
      </c>
    </row>
    <row r="89" spans="1:6" ht="18.75">
      <c r="A89" s="18" t="s">
        <v>12</v>
      </c>
      <c r="B89" s="5">
        <f t="shared" si="1"/>
        <v>16.799999999999997</v>
      </c>
      <c r="C89" s="91">
        <f>июль!C89+'август факт'!C89+'сентябрь факт'!C89</f>
        <v>0</v>
      </c>
      <c r="D89" s="91">
        <f>июль!D89+'август факт'!D89+'сентябрь факт'!D89</f>
        <v>0</v>
      </c>
      <c r="E89" s="91">
        <f>июль!E89+'август факт'!E89+'сентябрь факт'!E89</f>
        <v>16.799999999999997</v>
      </c>
      <c r="F89" s="92">
        <f>июль!F89+'август факт'!F89+'сентябрь факт'!F89</f>
        <v>0</v>
      </c>
    </row>
    <row r="90" spans="1:6" ht="36">
      <c r="A90" s="75" t="s">
        <v>65</v>
      </c>
      <c r="B90" s="5">
        <f>C90+D90+E90+F90</f>
        <v>15558.237</v>
      </c>
      <c r="C90" s="90">
        <f>C91+C92</f>
        <v>0</v>
      </c>
      <c r="D90" s="90"/>
      <c r="E90" s="90">
        <f>E91+E92</f>
        <v>3509.113</v>
      </c>
      <c r="F90" s="105">
        <f>F91+F92</f>
        <v>12049.124</v>
      </c>
    </row>
    <row r="91" spans="1:6" ht="18.75">
      <c r="A91" s="18" t="s">
        <v>13</v>
      </c>
      <c r="B91" s="5">
        <f>C91+D91+E91+F91</f>
        <v>7652.8189999999995</v>
      </c>
      <c r="C91" s="88">
        <f>июль!C91+'август факт'!C91+'сентябрь факт'!C91</f>
        <v>0</v>
      </c>
      <c r="D91" s="88">
        <f>июль!D91+'август факт'!D91+'сентябрь факт'!D91</f>
        <v>0</v>
      </c>
      <c r="E91" s="88">
        <f>июль!E91+'август факт'!E91+'сентябрь факт'!E91</f>
        <v>3401.238</v>
      </c>
      <c r="F91" s="89">
        <f>июль!F91+'август факт'!F91+'сентябрь факт'!F91</f>
        <v>4251.581</v>
      </c>
    </row>
    <row r="92" spans="1:6" ht="18.75">
      <c r="A92" s="18" t="s">
        <v>10</v>
      </c>
      <c r="B92" s="5">
        <f>C92+D92+E92+F92</f>
        <v>7905.418000000001</v>
      </c>
      <c r="C92" s="88">
        <f>C93+C94</f>
        <v>0</v>
      </c>
      <c r="D92" s="90">
        <f>D93+D94</f>
        <v>0</v>
      </c>
      <c r="E92" s="90">
        <f>E93+E94</f>
        <v>107.875</v>
      </c>
      <c r="F92" s="105">
        <f>F93+F94</f>
        <v>7797.543000000001</v>
      </c>
    </row>
    <row r="93" spans="1:6" ht="18.75">
      <c r="A93" s="18" t="s">
        <v>11</v>
      </c>
      <c r="B93" s="5">
        <f>C93+D93+E93+F93</f>
        <v>1725.829</v>
      </c>
      <c r="C93" s="91">
        <f>июль!C93+'август факт'!C93+'сентябрь факт'!C93</f>
        <v>0</v>
      </c>
      <c r="D93" s="91">
        <f>июль!D93+'август факт'!D93+'сентябрь факт'!D93</f>
        <v>0</v>
      </c>
      <c r="E93" s="91">
        <f>июль!E93+'август факт'!E93+'сентябрь факт'!E93</f>
        <v>45.861000000000004</v>
      </c>
      <c r="F93" s="92">
        <f>июль!F93+'август факт'!F93+'сентябрь факт'!F93</f>
        <v>1679.9679999999998</v>
      </c>
    </row>
    <row r="94" spans="1:6" ht="19.5" thickBot="1">
      <c r="A94" s="19" t="s">
        <v>12</v>
      </c>
      <c r="B94" s="34">
        <f>C94+D94+E94+F94</f>
        <v>6179.589000000001</v>
      </c>
      <c r="C94" s="106">
        <f>июль!C94+'август факт'!C94+'сентябрь факт'!C94</f>
        <v>0</v>
      </c>
      <c r="D94" s="106">
        <f>июль!D94+'август факт'!D94+'сентябрь факт'!D94</f>
        <v>0</v>
      </c>
      <c r="E94" s="106">
        <f>июль!E94+'август факт'!E94+'сентябрь факт'!E94</f>
        <v>62.013999999999996</v>
      </c>
      <c r="F94" s="107">
        <f>июль!F94+'август факт'!F94+'сентябрь факт'!F94</f>
        <v>6117.575000000001</v>
      </c>
    </row>
    <row r="95" spans="1:6" ht="18">
      <c r="A95" s="54" t="s">
        <v>21</v>
      </c>
      <c r="B95" s="76">
        <f t="shared" si="1"/>
        <v>483.034</v>
      </c>
      <c r="C95" s="130">
        <f>июль!C95+'август факт'!C95+'сентябрь факт'!C95</f>
        <v>0</v>
      </c>
      <c r="D95" s="130">
        <f>июль!D95+'август факт'!D95+'сентябрь факт'!D95</f>
        <v>0</v>
      </c>
      <c r="E95" s="130">
        <f>июль!E95+'август факт'!E95+'сентябрь факт'!E95</f>
        <v>483.034</v>
      </c>
      <c r="F95" s="131">
        <f>июль!F95+'август факт'!F95+'сентябрь факт'!F95</f>
        <v>0</v>
      </c>
    </row>
    <row r="96" spans="1:6" ht="18">
      <c r="A96" s="31" t="s">
        <v>22</v>
      </c>
      <c r="B96" s="5">
        <f t="shared" si="1"/>
        <v>219.29500000000002</v>
      </c>
      <c r="C96" s="88">
        <f>июль!C96+'август факт'!C96+'сентябрь факт'!C96</f>
        <v>0</v>
      </c>
      <c r="D96" s="88">
        <f>июль!D96+'август факт'!D96+'сентябрь факт'!D96</f>
        <v>0</v>
      </c>
      <c r="E96" s="88">
        <f>июль!E96+'август факт'!E96+'сентябрь факт'!E96</f>
        <v>219.29500000000002</v>
      </c>
      <c r="F96" s="89">
        <f>июль!F96+'август факт'!F96+'сентябрь факт'!F96</f>
        <v>0</v>
      </c>
    </row>
    <row r="97" spans="1:6" ht="18">
      <c r="A97" s="31" t="s">
        <v>27</v>
      </c>
      <c r="B97" s="5">
        <f t="shared" si="1"/>
        <v>1969.4599999999996</v>
      </c>
      <c r="C97" s="88">
        <f>июль!C97+'август факт'!C97+'сентябрь факт'!C97</f>
        <v>0</v>
      </c>
      <c r="D97" s="88">
        <f>июль!D97+'август факт'!D97+'сентябрь факт'!D97</f>
        <v>0</v>
      </c>
      <c r="E97" s="88">
        <f>июль!E97+'август факт'!E97+'сентябрь факт'!E97</f>
        <v>1738.4649999999997</v>
      </c>
      <c r="F97" s="89">
        <f>июль!F97+'август факт'!F97+'сентябрь факт'!F97</f>
        <v>230.995</v>
      </c>
    </row>
    <row r="98" spans="1:6" ht="18">
      <c r="A98" s="31" t="s">
        <v>23</v>
      </c>
      <c r="B98" s="5">
        <f t="shared" si="1"/>
        <v>2166.287</v>
      </c>
      <c r="C98" s="88">
        <f>июль!C98+'август факт'!C98+'сентябрь факт'!C98</f>
        <v>1556.202</v>
      </c>
      <c r="D98" s="88">
        <f>июль!D98+'август факт'!D98+'сентябрь факт'!D98</f>
        <v>0</v>
      </c>
      <c r="E98" s="88">
        <f>июль!E98+'август факт'!E98+'сентябрь факт'!E98</f>
        <v>291.88</v>
      </c>
      <c r="F98" s="89">
        <f>июль!F98+'август факт'!F98+'сентябрь факт'!F98</f>
        <v>318.20500000000004</v>
      </c>
    </row>
    <row r="99" spans="1:6" ht="36.75" thickBot="1">
      <c r="A99" s="120" t="s">
        <v>24</v>
      </c>
      <c r="B99" s="5">
        <f t="shared" si="1"/>
        <v>1260.119</v>
      </c>
      <c r="C99" s="88">
        <f>июль!C99+'август факт'!C99+'сентябрь факт'!C99</f>
        <v>0</v>
      </c>
      <c r="D99" s="88">
        <f>июль!D99+'август факт'!D99+'сентябрь факт'!D99</f>
        <v>0</v>
      </c>
      <c r="E99" s="88">
        <f>июль!E99+'август факт'!E99+'сентябрь факт'!E99</f>
        <v>1260.119</v>
      </c>
      <c r="F99" s="89">
        <f>июль!F99+'август факт'!F99+'сентябрь факт'!F99</f>
        <v>0</v>
      </c>
    </row>
    <row r="100" spans="1:6" ht="18.75" thickBot="1">
      <c r="A100" s="30" t="s">
        <v>66</v>
      </c>
      <c r="B100" s="50">
        <f t="shared" si="1"/>
        <v>327759.5884</v>
      </c>
      <c r="C100" s="124">
        <f>C5+C10+C15+C20+C25+C30+C35+C40+C45+C50+C55+C60+C65+C70+C75+C80+C85+C90+C95+C96+C97+C98+C99</f>
        <v>141728.935</v>
      </c>
      <c r="D100" s="124">
        <f>D5+D10+D15+D20+D25+D30+D35+D40+D45+D50+D55+D60+D65+D70+D75+D80+D85+D90+D95+D96+D97+D98+D99</f>
        <v>4496.276</v>
      </c>
      <c r="E100" s="124">
        <f>E5+E10+E15+E20+E25+E30+E35+E40+E45+E50+E55+E60+E65+E70+E75+E80+E85+E90+E95+E96+E97+E98+E99</f>
        <v>79383.70240000001</v>
      </c>
      <c r="F100" s="51">
        <f>F5+F10+F15+F20+F25+F30+F35+F40+F45+F50+F55+F60+F65+F70+F75+F80+F85+F90+F95+F96+F97+F98+F99</f>
        <v>102150.675</v>
      </c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3"/>
  <sheetViews>
    <sheetView zoomScale="60" zoomScaleNormal="60" zoomScalePageLayoutView="0" workbookViewId="0" topLeftCell="A53">
      <selection activeCell="I100" sqref="I100"/>
    </sheetView>
  </sheetViews>
  <sheetFormatPr defaultColWidth="9.00390625" defaultRowHeight="12.75"/>
  <cols>
    <col min="1" max="1" width="56.25390625" style="0" customWidth="1"/>
    <col min="2" max="2" width="24.00390625" style="0" customWidth="1"/>
    <col min="3" max="6" width="24.00390625" style="3" customWidth="1"/>
    <col min="7" max="8" width="24.00390625" style="0" customWidth="1"/>
  </cols>
  <sheetData>
    <row r="1" spans="1:12" s="81" customFormat="1" ht="23.25">
      <c r="A1" s="162" t="s">
        <v>32</v>
      </c>
      <c r="B1" s="162"/>
      <c r="C1" s="162"/>
      <c r="D1" s="162"/>
      <c r="E1" s="162"/>
      <c r="F1" s="162"/>
      <c r="L1" s="82"/>
    </row>
    <row r="2" spans="1:12" s="83" customFormat="1" ht="23.25">
      <c r="A2" s="163" t="s">
        <v>72</v>
      </c>
      <c r="B2" s="163"/>
      <c r="C2" s="163"/>
      <c r="D2" s="165"/>
      <c r="E2" s="165"/>
      <c r="F2" s="165"/>
      <c r="I2" s="81"/>
      <c r="J2" s="81"/>
      <c r="L2" s="82"/>
    </row>
    <row r="3" spans="1:12" s="77" customFormat="1" ht="18.75" thickBot="1">
      <c r="A3" s="3"/>
      <c r="B3" s="3"/>
      <c r="C3" s="3"/>
      <c r="D3" s="3"/>
      <c r="E3" s="3"/>
      <c r="F3" s="73" t="s">
        <v>31</v>
      </c>
      <c r="I3" s="81"/>
      <c r="J3" s="81"/>
      <c r="L3" s="82"/>
    </row>
    <row r="4" spans="1:12" s="85" customFormat="1" ht="29.25" customHeight="1" thickBot="1">
      <c r="A4" s="43" t="s">
        <v>36</v>
      </c>
      <c r="B4" s="44"/>
      <c r="C4" s="45" t="s">
        <v>0</v>
      </c>
      <c r="D4" s="45" t="s">
        <v>1</v>
      </c>
      <c r="E4" s="45" t="s">
        <v>2</v>
      </c>
      <c r="F4" s="46" t="s">
        <v>3</v>
      </c>
      <c r="G4" s="7"/>
      <c r="H4" s="84"/>
      <c r="I4" s="7"/>
      <c r="J4" s="7"/>
      <c r="L4" s="86"/>
    </row>
    <row r="5" spans="1:8" s="4" customFormat="1" ht="44.25" customHeight="1">
      <c r="A5" s="74" t="s">
        <v>57</v>
      </c>
      <c r="B5" s="55">
        <f>C5+D5+E5+F5</f>
        <v>86696.48999999999</v>
      </c>
      <c r="C5" s="97">
        <f>C6+C7</f>
        <v>39532.348</v>
      </c>
      <c r="D5" s="97">
        <f>D6+D7</f>
        <v>1113.414</v>
      </c>
      <c r="E5" s="97">
        <f>E6+E7</f>
        <v>21704.355</v>
      </c>
      <c r="F5" s="98">
        <f>F6+F7</f>
        <v>24346.373</v>
      </c>
      <c r="G5" s="13"/>
      <c r="H5" s="26"/>
    </row>
    <row r="6" spans="1:8" s="4" customFormat="1" ht="27" customHeight="1">
      <c r="A6" s="18" t="s">
        <v>13</v>
      </c>
      <c r="B6" s="5">
        <f aca="true" t="shared" si="0" ref="B6:B55">C6+D6+E6+F6</f>
        <v>71022.794</v>
      </c>
      <c r="C6" s="8">
        <f>39498.364</f>
        <v>39498.364</v>
      </c>
      <c r="D6" s="8">
        <v>1112.064</v>
      </c>
      <c r="E6" s="8">
        <v>20967.584</v>
      </c>
      <c r="F6" s="9">
        <v>9444.782</v>
      </c>
      <c r="G6" s="13"/>
      <c r="H6" s="26"/>
    </row>
    <row r="7" spans="1:8" s="4" customFormat="1" ht="20.25" customHeight="1">
      <c r="A7" s="18" t="s">
        <v>10</v>
      </c>
      <c r="B7" s="5">
        <f t="shared" si="0"/>
        <v>15673.696</v>
      </c>
      <c r="C7" s="20">
        <f>C8+C9</f>
        <v>33.983999999999995</v>
      </c>
      <c r="D7" s="20">
        <f>D8+D9</f>
        <v>1.35</v>
      </c>
      <c r="E7" s="20">
        <f>E8+E9</f>
        <v>736.771</v>
      </c>
      <c r="F7" s="21">
        <f>F8+F9</f>
        <v>14901.591</v>
      </c>
      <c r="G7" s="13"/>
      <c r="H7" s="26"/>
    </row>
    <row r="8" spans="1:8" s="4" customFormat="1" ht="21.75" customHeight="1">
      <c r="A8" s="18" t="s">
        <v>11</v>
      </c>
      <c r="B8" s="5">
        <f t="shared" si="0"/>
        <v>4605.417</v>
      </c>
      <c r="C8" s="93">
        <f>8.896+8.508</f>
        <v>17.404</v>
      </c>
      <c r="D8" s="93"/>
      <c r="E8" s="93">
        <v>143.128</v>
      </c>
      <c r="F8" s="94">
        <v>4444.885</v>
      </c>
      <c r="G8" s="13"/>
      <c r="H8" s="26"/>
    </row>
    <row r="9" spans="1:8" s="4" customFormat="1" ht="24.75" customHeight="1">
      <c r="A9" s="18" t="s">
        <v>12</v>
      </c>
      <c r="B9" s="5">
        <f t="shared" si="0"/>
        <v>11068.279</v>
      </c>
      <c r="C9" s="93">
        <v>16.58</v>
      </c>
      <c r="D9" s="93">
        <v>1.35</v>
      </c>
      <c r="E9" s="93">
        <v>593.643</v>
      </c>
      <c r="F9" s="94">
        <v>10456.706</v>
      </c>
      <c r="G9" s="7"/>
      <c r="H9" s="40"/>
    </row>
    <row r="10" spans="1:7" s="4" customFormat="1" ht="41.25" customHeight="1">
      <c r="A10" s="75" t="s">
        <v>58</v>
      </c>
      <c r="B10" s="5">
        <f t="shared" si="0"/>
        <v>6096.368</v>
      </c>
      <c r="C10" s="20">
        <f>C11+C12</f>
        <v>935.98</v>
      </c>
      <c r="D10" s="20"/>
      <c r="E10" s="20">
        <f>E11+E12</f>
        <v>2169.443</v>
      </c>
      <c r="F10" s="21">
        <f>F11+F12</f>
        <v>2990.945</v>
      </c>
      <c r="G10" s="13"/>
    </row>
    <row r="11" spans="1:7" s="4" customFormat="1" ht="21.75" customHeight="1">
      <c r="A11" s="18" t="s">
        <v>13</v>
      </c>
      <c r="B11" s="5">
        <f t="shared" si="0"/>
        <v>3902.318</v>
      </c>
      <c r="C11" s="8">
        <v>841.808</v>
      </c>
      <c r="D11" s="8"/>
      <c r="E11" s="8">
        <v>1825.851</v>
      </c>
      <c r="F11" s="9">
        <v>1234.659</v>
      </c>
      <c r="G11" s="13"/>
    </row>
    <row r="12" spans="1:8" s="4" customFormat="1" ht="19.5" customHeight="1">
      <c r="A12" s="18" t="s">
        <v>10</v>
      </c>
      <c r="B12" s="5">
        <f t="shared" si="0"/>
        <v>2194.05</v>
      </c>
      <c r="C12" s="20">
        <f>C13+C14</f>
        <v>94.172</v>
      </c>
      <c r="D12" s="8"/>
      <c r="E12" s="20">
        <f>E13+E14</f>
        <v>343.592</v>
      </c>
      <c r="F12" s="21">
        <f>F13+F14</f>
        <v>1756.286</v>
      </c>
      <c r="G12" s="13"/>
      <c r="H12" s="40"/>
    </row>
    <row r="13" spans="1:8" s="4" customFormat="1" ht="17.25" customHeight="1">
      <c r="A13" s="18" t="s">
        <v>11</v>
      </c>
      <c r="B13" s="5">
        <f t="shared" si="0"/>
        <v>1230.384</v>
      </c>
      <c r="C13" s="11"/>
      <c r="D13" s="11"/>
      <c r="E13" s="11">
        <v>51.135</v>
      </c>
      <c r="F13" s="12">
        <v>1179.249</v>
      </c>
      <c r="G13" s="13"/>
      <c r="H13" s="40"/>
    </row>
    <row r="14" spans="1:8" s="4" customFormat="1" ht="17.25" customHeight="1">
      <c r="A14" s="18" t="s">
        <v>12</v>
      </c>
      <c r="B14" s="5">
        <f t="shared" si="0"/>
        <v>963.666</v>
      </c>
      <c r="C14" s="11">
        <v>94.172</v>
      </c>
      <c r="D14" s="11"/>
      <c r="E14" s="11">
        <v>292.457</v>
      </c>
      <c r="F14" s="12">
        <v>577.037</v>
      </c>
      <c r="G14" s="13"/>
      <c r="H14" s="40"/>
    </row>
    <row r="15" spans="1:8" s="4" customFormat="1" ht="35.25" customHeight="1">
      <c r="A15" s="75" t="s">
        <v>6</v>
      </c>
      <c r="B15" s="5">
        <f t="shared" si="0"/>
        <v>1347.269</v>
      </c>
      <c r="C15" s="20">
        <f>C16+C17</f>
        <v>1347.269</v>
      </c>
      <c r="D15" s="8"/>
      <c r="E15" s="8"/>
      <c r="F15" s="21">
        <f>F16+F17</f>
        <v>0</v>
      </c>
      <c r="G15" s="7"/>
      <c r="H15" s="28"/>
    </row>
    <row r="16" spans="1:8" s="4" customFormat="1" ht="19.5" customHeight="1">
      <c r="A16" s="18" t="s">
        <v>13</v>
      </c>
      <c r="B16" s="5">
        <f t="shared" si="0"/>
        <v>1346.938</v>
      </c>
      <c r="C16" s="8">
        <v>1346.938</v>
      </c>
      <c r="D16" s="8"/>
      <c r="E16" s="20"/>
      <c r="F16" s="21"/>
      <c r="G16" s="7"/>
      <c r="H16" s="28"/>
    </row>
    <row r="17" spans="1:8" s="4" customFormat="1" ht="18" customHeight="1">
      <c r="A17" s="18" t="s">
        <v>10</v>
      </c>
      <c r="B17" s="5">
        <f t="shared" si="0"/>
        <v>0.331</v>
      </c>
      <c r="C17" s="20">
        <f>C18+C19</f>
        <v>0.331</v>
      </c>
      <c r="D17" s="8"/>
      <c r="E17" s="20">
        <f>E18+E19</f>
        <v>0</v>
      </c>
      <c r="F17" s="21">
        <f>F18+F19</f>
        <v>0</v>
      </c>
      <c r="G17" s="7"/>
      <c r="H17" s="28"/>
    </row>
    <row r="18" spans="1:8" s="4" customFormat="1" ht="19.5" customHeight="1">
      <c r="A18" s="18" t="s">
        <v>11</v>
      </c>
      <c r="B18" s="5">
        <f t="shared" si="0"/>
        <v>0.331</v>
      </c>
      <c r="C18" s="95">
        <v>0.331</v>
      </c>
      <c r="D18" s="95"/>
      <c r="E18" s="95"/>
      <c r="F18" s="96"/>
      <c r="G18" s="7"/>
      <c r="H18" s="28"/>
    </row>
    <row r="19" spans="1:8" s="4" customFormat="1" ht="19.5" customHeight="1">
      <c r="A19" s="18" t="s">
        <v>12</v>
      </c>
      <c r="B19" s="5">
        <f t="shared" si="0"/>
        <v>0</v>
      </c>
      <c r="C19" s="95"/>
      <c r="D19" s="95"/>
      <c r="E19" s="95"/>
      <c r="F19" s="96"/>
      <c r="G19" s="7"/>
      <c r="H19" s="28"/>
    </row>
    <row r="20" spans="1:8" s="4" customFormat="1" ht="37.5" customHeight="1">
      <c r="A20" s="75" t="s">
        <v>59</v>
      </c>
      <c r="B20" s="5">
        <f t="shared" si="0"/>
        <v>499.995</v>
      </c>
      <c r="C20" s="20">
        <f>C21+C22</f>
        <v>9.219</v>
      </c>
      <c r="D20" s="20">
        <f>D21+D22</f>
        <v>372.875</v>
      </c>
      <c r="E20" s="20">
        <f>E21+E22</f>
        <v>17.9</v>
      </c>
      <c r="F20" s="21">
        <f>F21+F22</f>
        <v>100.001</v>
      </c>
      <c r="G20" s="13"/>
      <c r="H20" s="40"/>
    </row>
    <row r="21" spans="1:8" s="4" customFormat="1" ht="21.75" customHeight="1">
      <c r="A21" s="18" t="s">
        <v>13</v>
      </c>
      <c r="B21" s="5">
        <f t="shared" si="0"/>
        <v>480.995</v>
      </c>
      <c r="C21" s="8">
        <v>9.219</v>
      </c>
      <c r="D21" s="8">
        <v>372.875</v>
      </c>
      <c r="E21" s="8">
        <v>17.9</v>
      </c>
      <c r="F21" s="9">
        <v>81.001</v>
      </c>
      <c r="G21" s="13"/>
      <c r="H21" s="40"/>
    </row>
    <row r="22" spans="1:8" s="4" customFormat="1" ht="21" customHeight="1">
      <c r="A22" s="18" t="s">
        <v>10</v>
      </c>
      <c r="B22" s="5">
        <f t="shared" si="0"/>
        <v>19</v>
      </c>
      <c r="C22" s="20">
        <f>C23+C24</f>
        <v>0</v>
      </c>
      <c r="D22" s="8"/>
      <c r="E22" s="20">
        <f>E23+E24</f>
        <v>0</v>
      </c>
      <c r="F22" s="21">
        <f>F23+F24</f>
        <v>19</v>
      </c>
      <c r="G22" s="13"/>
      <c r="H22" s="40"/>
    </row>
    <row r="23" spans="1:8" s="4" customFormat="1" ht="21.75" customHeight="1">
      <c r="A23" s="18" t="s">
        <v>11</v>
      </c>
      <c r="B23" s="5">
        <f t="shared" si="0"/>
        <v>19</v>
      </c>
      <c r="C23" s="95"/>
      <c r="D23" s="95"/>
      <c r="E23" s="11"/>
      <c r="F23" s="12">
        <v>19</v>
      </c>
      <c r="G23" s="13"/>
      <c r="H23" s="40"/>
    </row>
    <row r="24" spans="1:8" s="4" customFormat="1" ht="21" customHeight="1">
      <c r="A24" s="18" t="s">
        <v>12</v>
      </c>
      <c r="B24" s="5">
        <f t="shared" si="0"/>
        <v>0</v>
      </c>
      <c r="C24" s="95"/>
      <c r="D24" s="95"/>
      <c r="E24" s="95"/>
      <c r="F24" s="96"/>
      <c r="G24" s="13"/>
      <c r="H24" s="40"/>
    </row>
    <row r="25" spans="1:8" s="4" customFormat="1" ht="41.25" customHeight="1">
      <c r="A25" s="75" t="s">
        <v>7</v>
      </c>
      <c r="B25" s="5">
        <f t="shared" si="0"/>
        <v>12886.544000000002</v>
      </c>
      <c r="C25" s="20">
        <f>C26+C27</f>
        <v>7025.716</v>
      </c>
      <c r="D25" s="20">
        <f>D26+D27</f>
        <v>0</v>
      </c>
      <c r="E25" s="20">
        <f>E26+E27</f>
        <v>2047.048</v>
      </c>
      <c r="F25" s="21">
        <f>F26+F27</f>
        <v>3813.7799999999997</v>
      </c>
      <c r="G25" s="13"/>
      <c r="H25" s="40"/>
    </row>
    <row r="26" spans="1:8" s="4" customFormat="1" ht="19.5" customHeight="1">
      <c r="A26" s="18" t="s">
        <v>13</v>
      </c>
      <c r="B26" s="5">
        <f t="shared" si="0"/>
        <v>10341.003</v>
      </c>
      <c r="C26" s="8">
        <v>7025.716</v>
      </c>
      <c r="D26" s="8"/>
      <c r="E26" s="8">
        <v>1981.868</v>
      </c>
      <c r="F26" s="9">
        <v>1333.419</v>
      </c>
      <c r="G26" s="13"/>
      <c r="H26" s="40"/>
    </row>
    <row r="27" spans="1:8" s="4" customFormat="1" ht="24.75" customHeight="1">
      <c r="A27" s="18" t="s">
        <v>10</v>
      </c>
      <c r="B27" s="5">
        <f t="shared" si="0"/>
        <v>2545.5409999999997</v>
      </c>
      <c r="C27" s="20">
        <f>C28+C29</f>
        <v>0</v>
      </c>
      <c r="D27" s="8"/>
      <c r="E27" s="20">
        <f>E28+E29</f>
        <v>65.18</v>
      </c>
      <c r="F27" s="21">
        <f>F28+F29</f>
        <v>2480.361</v>
      </c>
      <c r="G27" s="13"/>
      <c r="H27" s="40"/>
    </row>
    <row r="28" spans="1:8" s="4" customFormat="1" ht="25.5" customHeight="1">
      <c r="A28" s="18" t="s">
        <v>11</v>
      </c>
      <c r="B28" s="5">
        <f t="shared" si="0"/>
        <v>2515.296</v>
      </c>
      <c r="C28" s="95"/>
      <c r="D28" s="95"/>
      <c r="E28" s="11">
        <v>65.18</v>
      </c>
      <c r="F28" s="12">
        <f>2345.539+104.577</f>
        <v>2450.116</v>
      </c>
      <c r="G28" s="13"/>
      <c r="H28" s="40"/>
    </row>
    <row r="29" spans="1:8" s="4" customFormat="1" ht="20.25" customHeight="1">
      <c r="A29" s="18" t="s">
        <v>12</v>
      </c>
      <c r="B29" s="5">
        <f t="shared" si="0"/>
        <v>30.245</v>
      </c>
      <c r="C29" s="95"/>
      <c r="D29" s="95"/>
      <c r="E29" s="11"/>
      <c r="F29" s="12">
        <v>30.245</v>
      </c>
      <c r="G29" s="13"/>
      <c r="H29" s="40"/>
    </row>
    <row r="30" spans="1:8" s="4" customFormat="1" ht="50.25" customHeight="1">
      <c r="A30" s="75" t="s">
        <v>60</v>
      </c>
      <c r="B30" s="5">
        <f t="shared" si="0"/>
        <v>114.65700000000001</v>
      </c>
      <c r="C30" s="95"/>
      <c r="D30" s="95"/>
      <c r="E30" s="20">
        <f>E31+E32</f>
        <v>73.221</v>
      </c>
      <c r="F30" s="21">
        <f>F31+F32</f>
        <v>41.436</v>
      </c>
      <c r="G30" s="7"/>
      <c r="H30" s="28"/>
    </row>
    <row r="31" spans="1:8" s="4" customFormat="1" ht="22.5" customHeight="1">
      <c r="A31" s="18" t="s">
        <v>13</v>
      </c>
      <c r="B31" s="5">
        <f t="shared" si="0"/>
        <v>87.677</v>
      </c>
      <c r="C31" s="8"/>
      <c r="D31" s="8"/>
      <c r="E31" s="136">
        <v>73.221</v>
      </c>
      <c r="F31" s="137">
        <v>14.456</v>
      </c>
      <c r="G31" s="7"/>
      <c r="H31" s="28"/>
    </row>
    <row r="32" spans="1:8" s="4" customFormat="1" ht="24.75" customHeight="1">
      <c r="A32" s="18" t="s">
        <v>10</v>
      </c>
      <c r="B32" s="5">
        <f t="shared" si="0"/>
        <v>26.98</v>
      </c>
      <c r="C32" s="8"/>
      <c r="D32" s="8"/>
      <c r="E32" s="20">
        <f>E33+E34</f>
        <v>0</v>
      </c>
      <c r="F32" s="21">
        <f>F33+F34</f>
        <v>26.98</v>
      </c>
      <c r="G32" s="7"/>
      <c r="H32" s="28"/>
    </row>
    <row r="33" spans="1:8" s="4" customFormat="1" ht="18" customHeight="1">
      <c r="A33" s="18" t="s">
        <v>11</v>
      </c>
      <c r="B33" s="5">
        <f t="shared" si="0"/>
        <v>21.666</v>
      </c>
      <c r="C33" s="95"/>
      <c r="D33" s="95"/>
      <c r="E33" s="152">
        <v>0</v>
      </c>
      <c r="F33" s="150">
        <v>21.666</v>
      </c>
      <c r="G33" s="7"/>
      <c r="H33" s="28"/>
    </row>
    <row r="34" spans="1:8" s="4" customFormat="1" ht="18" customHeight="1">
      <c r="A34" s="18" t="s">
        <v>12</v>
      </c>
      <c r="B34" s="5">
        <f t="shared" si="0"/>
        <v>5.314</v>
      </c>
      <c r="C34" s="95"/>
      <c r="D34" s="95"/>
      <c r="E34" s="152">
        <v>0</v>
      </c>
      <c r="F34" s="150">
        <v>5.314</v>
      </c>
      <c r="G34" s="7"/>
      <c r="H34" s="28"/>
    </row>
    <row r="35" spans="1:8" s="4" customFormat="1" ht="25.5" customHeight="1">
      <c r="A35" s="75" t="s">
        <v>61</v>
      </c>
      <c r="B35" s="5">
        <f t="shared" si="0"/>
        <v>139.022</v>
      </c>
      <c r="C35" s="20">
        <f>C36+C37</f>
        <v>0</v>
      </c>
      <c r="D35" s="95"/>
      <c r="E35" s="20">
        <f>E36+E37</f>
        <v>0</v>
      </c>
      <c r="F35" s="21">
        <f>F36+F37</f>
        <v>139.022</v>
      </c>
      <c r="G35" s="7"/>
      <c r="H35" s="28"/>
    </row>
    <row r="36" spans="1:8" s="4" customFormat="1" ht="23.25" customHeight="1">
      <c r="A36" s="18" t="s">
        <v>13</v>
      </c>
      <c r="B36" s="5">
        <f t="shared" si="0"/>
        <v>126.051</v>
      </c>
      <c r="C36" s="8"/>
      <c r="D36" s="8"/>
      <c r="E36" s="8"/>
      <c r="F36" s="9">
        <v>126.051</v>
      </c>
      <c r="G36" s="7"/>
      <c r="H36" s="28"/>
    </row>
    <row r="37" spans="1:8" s="4" customFormat="1" ht="23.25" customHeight="1">
      <c r="A37" s="18" t="s">
        <v>10</v>
      </c>
      <c r="B37" s="5">
        <f t="shared" si="0"/>
        <v>12.971</v>
      </c>
      <c r="C37" s="20">
        <f>C38+C39</f>
        <v>0</v>
      </c>
      <c r="D37" s="8"/>
      <c r="E37" s="20">
        <f>E38+E39</f>
        <v>0</v>
      </c>
      <c r="F37" s="21">
        <f>F38+F39</f>
        <v>12.971</v>
      </c>
      <c r="G37" s="7"/>
      <c r="H37" s="28"/>
    </row>
    <row r="38" spans="1:8" s="4" customFormat="1" ht="23.25" customHeight="1">
      <c r="A38" s="18" t="s">
        <v>11</v>
      </c>
      <c r="B38" s="5">
        <f t="shared" si="0"/>
        <v>0</v>
      </c>
      <c r="C38" s="95"/>
      <c r="D38" s="95"/>
      <c r="E38" s="95"/>
      <c r="F38" s="12"/>
      <c r="G38" s="7"/>
      <c r="H38" s="28"/>
    </row>
    <row r="39" spans="1:8" s="4" customFormat="1" ht="23.25" customHeight="1">
      <c r="A39" s="18" t="s">
        <v>12</v>
      </c>
      <c r="B39" s="5">
        <f t="shared" si="0"/>
        <v>12.971</v>
      </c>
      <c r="C39" s="95"/>
      <c r="D39" s="95"/>
      <c r="E39" s="95"/>
      <c r="F39" s="12">
        <v>12.971</v>
      </c>
      <c r="G39" s="7"/>
      <c r="H39" s="28"/>
    </row>
    <row r="40" spans="1:8" s="4" customFormat="1" ht="42" customHeight="1">
      <c r="A40" s="75" t="s">
        <v>26</v>
      </c>
      <c r="B40" s="5">
        <f t="shared" si="0"/>
        <v>70.22</v>
      </c>
      <c r="C40" s="95">
        <f>C41+C42</f>
        <v>34.675</v>
      </c>
      <c r="D40" s="95"/>
      <c r="E40" s="95">
        <f>E41+E42</f>
        <v>35.545</v>
      </c>
      <c r="F40" s="21"/>
      <c r="G40" s="7"/>
      <c r="H40" s="40"/>
    </row>
    <row r="41" spans="1:8" s="4" customFormat="1" ht="19.5" customHeight="1">
      <c r="A41" s="18" t="s">
        <v>13</v>
      </c>
      <c r="B41" s="5">
        <f t="shared" si="0"/>
        <v>70.22</v>
      </c>
      <c r="C41" s="8">
        <v>34.675</v>
      </c>
      <c r="D41" s="8"/>
      <c r="E41" s="8">
        <v>35.545</v>
      </c>
      <c r="F41" s="9"/>
      <c r="G41" s="7"/>
      <c r="H41" s="40"/>
    </row>
    <row r="42" spans="1:8" s="4" customFormat="1" ht="19.5" customHeight="1">
      <c r="A42" s="18" t="s">
        <v>10</v>
      </c>
      <c r="B42" s="5">
        <f t="shared" si="0"/>
        <v>0</v>
      </c>
      <c r="C42" s="8"/>
      <c r="D42" s="8"/>
      <c r="E42" s="20">
        <f>E43+E44</f>
        <v>0</v>
      </c>
      <c r="F42" s="21">
        <f>F43+F44</f>
        <v>0</v>
      </c>
      <c r="G42" s="7"/>
      <c r="H42" s="40"/>
    </row>
    <row r="43" spans="1:8" s="4" customFormat="1" ht="19.5" customHeight="1">
      <c r="A43" s="18" t="s">
        <v>11</v>
      </c>
      <c r="B43" s="5">
        <f t="shared" si="0"/>
        <v>0</v>
      </c>
      <c r="C43" s="95"/>
      <c r="D43" s="95"/>
      <c r="E43" s="95"/>
      <c r="F43" s="12"/>
      <c r="G43" s="7"/>
      <c r="H43" s="40"/>
    </row>
    <row r="44" spans="1:8" s="4" customFormat="1" ht="19.5" customHeight="1">
      <c r="A44" s="18" t="s">
        <v>12</v>
      </c>
      <c r="B44" s="5">
        <f t="shared" si="0"/>
        <v>0</v>
      </c>
      <c r="C44" s="95"/>
      <c r="D44" s="95"/>
      <c r="E44" s="95"/>
      <c r="F44" s="12"/>
      <c r="G44" s="7"/>
      <c r="H44" s="40"/>
    </row>
    <row r="45" spans="1:8" s="4" customFormat="1" ht="24.75" customHeight="1">
      <c r="A45" s="31" t="s">
        <v>29</v>
      </c>
      <c r="B45" s="5">
        <f t="shared" si="0"/>
        <v>412.499</v>
      </c>
      <c r="C45" s="8"/>
      <c r="D45" s="8"/>
      <c r="E45" s="8">
        <f>E46+E47</f>
        <v>325.357</v>
      </c>
      <c r="F45" s="9">
        <f>F46+F47</f>
        <v>87.142</v>
      </c>
      <c r="G45" s="13"/>
      <c r="H45" s="26"/>
    </row>
    <row r="46" spans="1:8" s="4" customFormat="1" ht="24.75" customHeight="1">
      <c r="A46" s="18" t="s">
        <v>13</v>
      </c>
      <c r="B46" s="5">
        <f t="shared" si="0"/>
        <v>412.499</v>
      </c>
      <c r="C46" s="8"/>
      <c r="D46" s="8"/>
      <c r="E46" s="20">
        <v>325.357</v>
      </c>
      <c r="F46" s="21">
        <v>87.142</v>
      </c>
      <c r="G46" s="13"/>
      <c r="H46" s="26"/>
    </row>
    <row r="47" spans="1:8" s="4" customFormat="1" ht="24.75" customHeight="1">
      <c r="A47" s="18" t="s">
        <v>10</v>
      </c>
      <c r="B47" s="5">
        <f t="shared" si="0"/>
        <v>0</v>
      </c>
      <c r="C47" s="8"/>
      <c r="D47" s="8"/>
      <c r="E47" s="20">
        <f>E48+E49</f>
        <v>0</v>
      </c>
      <c r="F47" s="21">
        <f>F48+F49</f>
        <v>0</v>
      </c>
      <c r="G47" s="13"/>
      <c r="H47" s="26"/>
    </row>
    <row r="48" spans="1:8" s="4" customFormat="1" ht="24.75" customHeight="1">
      <c r="A48" s="18" t="s">
        <v>11</v>
      </c>
      <c r="B48" s="5">
        <f t="shared" si="0"/>
        <v>0</v>
      </c>
      <c r="C48" s="8"/>
      <c r="D48" s="8"/>
      <c r="E48" s="8"/>
      <c r="F48" s="9"/>
      <c r="G48" s="13"/>
      <c r="H48" s="26"/>
    </row>
    <row r="49" spans="1:8" s="4" customFormat="1" ht="24.75" customHeight="1">
      <c r="A49" s="18" t="s">
        <v>12</v>
      </c>
      <c r="B49" s="5">
        <f t="shared" si="0"/>
        <v>0</v>
      </c>
      <c r="C49" s="8"/>
      <c r="D49" s="8"/>
      <c r="E49" s="8"/>
      <c r="F49" s="9"/>
      <c r="G49" s="13"/>
      <c r="H49" s="26"/>
    </row>
    <row r="50" spans="1:8" s="4" customFormat="1" ht="24.75" customHeight="1">
      <c r="A50" s="31" t="s">
        <v>4</v>
      </c>
      <c r="B50" s="5">
        <f t="shared" si="0"/>
        <v>881.912</v>
      </c>
      <c r="C50" s="8">
        <f>C51+C52</f>
        <v>881.912</v>
      </c>
      <c r="D50" s="8"/>
      <c r="E50" s="8"/>
      <c r="F50" s="9"/>
      <c r="G50" s="13"/>
      <c r="H50" s="26"/>
    </row>
    <row r="51" spans="1:8" s="4" customFormat="1" ht="24.75" customHeight="1">
      <c r="A51" s="18" t="s">
        <v>13</v>
      </c>
      <c r="B51" s="5">
        <f t="shared" si="0"/>
        <v>881.912</v>
      </c>
      <c r="C51" s="20">
        <v>881.912</v>
      </c>
      <c r="D51" s="8"/>
      <c r="E51" s="20"/>
      <c r="F51" s="21"/>
      <c r="G51" s="13"/>
      <c r="H51" s="26"/>
    </row>
    <row r="52" spans="1:8" s="4" customFormat="1" ht="24.75" customHeight="1">
      <c r="A52" s="18" t="s">
        <v>10</v>
      </c>
      <c r="B52" s="5">
        <f t="shared" si="0"/>
        <v>0</v>
      </c>
      <c r="C52" s="20">
        <f>C53+C54</f>
        <v>0</v>
      </c>
      <c r="D52" s="8"/>
      <c r="E52" s="20">
        <f>E53+E54</f>
        <v>0</v>
      </c>
      <c r="F52" s="21">
        <f>F53+F54</f>
        <v>0</v>
      </c>
      <c r="G52" s="13"/>
      <c r="H52" s="26"/>
    </row>
    <row r="53" spans="1:8" s="4" customFormat="1" ht="24.75" customHeight="1">
      <c r="A53" s="18" t="s">
        <v>11</v>
      </c>
      <c r="B53" s="5">
        <f t="shared" si="0"/>
        <v>0</v>
      </c>
      <c r="C53" s="95"/>
      <c r="D53" s="8"/>
      <c r="E53" s="8"/>
      <c r="F53" s="9"/>
      <c r="G53" s="13"/>
      <c r="H53" s="26"/>
    </row>
    <row r="54" spans="1:8" s="4" customFormat="1" ht="24.75" customHeight="1">
      <c r="A54" s="18" t="s">
        <v>12</v>
      </c>
      <c r="B54" s="5">
        <f t="shared" si="0"/>
        <v>0</v>
      </c>
      <c r="C54" s="95"/>
      <c r="D54" s="8"/>
      <c r="E54" s="8"/>
      <c r="F54" s="9"/>
      <c r="G54" s="13"/>
      <c r="H54" s="26"/>
    </row>
    <row r="55" spans="1:8" s="4" customFormat="1" ht="50.25" customHeight="1">
      <c r="A55" s="75" t="s">
        <v>62</v>
      </c>
      <c r="B55" s="5">
        <f t="shared" si="0"/>
        <v>845.195</v>
      </c>
      <c r="C55" s="20">
        <f>C56+C57</f>
        <v>0</v>
      </c>
      <c r="D55" s="20">
        <f>D56+D57</f>
        <v>0</v>
      </c>
      <c r="E55" s="20">
        <f>E56+E57</f>
        <v>362.295</v>
      </c>
      <c r="F55" s="21">
        <f>F56+F57</f>
        <v>482.90000000000003</v>
      </c>
      <c r="G55" s="13"/>
      <c r="H55" s="26"/>
    </row>
    <row r="56" spans="1:8" s="4" customFormat="1" ht="26.25" customHeight="1">
      <c r="A56" s="18" t="s">
        <v>13</v>
      </c>
      <c r="B56" s="5">
        <f>F56+E56+D56+C56</f>
        <v>500.942</v>
      </c>
      <c r="C56" s="20"/>
      <c r="D56" s="20"/>
      <c r="E56" s="20">
        <v>362.295</v>
      </c>
      <c r="F56" s="21">
        <v>138.647</v>
      </c>
      <c r="G56" s="13"/>
      <c r="H56" s="26"/>
    </row>
    <row r="57" spans="1:8" s="4" customFormat="1" ht="26.25" customHeight="1">
      <c r="A57" s="18" t="s">
        <v>10</v>
      </c>
      <c r="B57" s="5">
        <f aca="true" t="shared" si="1" ref="B57:B100">C57+D57+E57+F57</f>
        <v>344.25300000000004</v>
      </c>
      <c r="C57" s="20">
        <f>C58+C59</f>
        <v>0</v>
      </c>
      <c r="D57" s="20">
        <f>D58+D59</f>
        <v>0</v>
      </c>
      <c r="E57" s="20">
        <f>E58+E59</f>
        <v>0</v>
      </c>
      <c r="F57" s="21">
        <f>F58+F59</f>
        <v>344.25300000000004</v>
      </c>
      <c r="G57" s="13"/>
      <c r="H57" s="26"/>
    </row>
    <row r="58" spans="1:8" s="4" customFormat="1" ht="26.25" customHeight="1">
      <c r="A58" s="18" t="s">
        <v>11</v>
      </c>
      <c r="B58" s="5">
        <f t="shared" si="1"/>
        <v>302.213</v>
      </c>
      <c r="C58" s="93"/>
      <c r="D58" s="8"/>
      <c r="E58" s="8"/>
      <c r="F58" s="9">
        <v>302.213</v>
      </c>
      <c r="G58" s="13"/>
      <c r="H58" s="26"/>
    </row>
    <row r="59" spans="1:8" s="4" customFormat="1" ht="26.25" customHeight="1">
      <c r="A59" s="18" t="s">
        <v>12</v>
      </c>
      <c r="B59" s="5">
        <f t="shared" si="1"/>
        <v>42.04</v>
      </c>
      <c r="C59" s="93"/>
      <c r="D59" s="8"/>
      <c r="E59" s="8"/>
      <c r="F59" s="9">
        <v>42.04</v>
      </c>
      <c r="G59" s="13"/>
      <c r="H59" s="26"/>
    </row>
    <row r="60" spans="1:8" s="4" customFormat="1" ht="24.75" customHeight="1">
      <c r="A60" s="75" t="s">
        <v>28</v>
      </c>
      <c r="B60" s="5">
        <f t="shared" si="1"/>
        <v>2345.9900000000002</v>
      </c>
      <c r="C60" s="8">
        <f>C61+C62</f>
        <v>2334.09</v>
      </c>
      <c r="D60" s="8"/>
      <c r="E60" s="8">
        <f>E61+E62</f>
        <v>0</v>
      </c>
      <c r="F60" s="9">
        <f>F61+F62</f>
        <v>11.9</v>
      </c>
      <c r="G60" s="7"/>
      <c r="H60" s="26"/>
    </row>
    <row r="61" spans="1:8" s="4" customFormat="1" ht="21.75" customHeight="1">
      <c r="A61" s="18" t="s">
        <v>13</v>
      </c>
      <c r="B61" s="5">
        <f t="shared" si="1"/>
        <v>2345.9900000000002</v>
      </c>
      <c r="C61" s="113">
        <v>2334.09</v>
      </c>
      <c r="D61" s="113"/>
      <c r="E61" s="113"/>
      <c r="F61" s="114">
        <v>11.9</v>
      </c>
      <c r="G61" s="7"/>
      <c r="H61" s="36"/>
    </row>
    <row r="62" spans="1:8" s="4" customFormat="1" ht="16.5" customHeight="1">
      <c r="A62" s="18" t="s">
        <v>10</v>
      </c>
      <c r="B62" s="5">
        <f t="shared" si="1"/>
        <v>0</v>
      </c>
      <c r="C62" s="93"/>
      <c r="D62" s="8"/>
      <c r="E62" s="8">
        <f>E64+E63</f>
        <v>0</v>
      </c>
      <c r="F62" s="9">
        <f>F64+F63</f>
        <v>0</v>
      </c>
      <c r="G62" s="7"/>
      <c r="H62" s="36"/>
    </row>
    <row r="63" spans="1:8" s="4" customFormat="1" ht="18" customHeight="1">
      <c r="A63" s="18" t="s">
        <v>11</v>
      </c>
      <c r="B63" s="5">
        <f t="shared" si="1"/>
        <v>0</v>
      </c>
      <c r="C63" s="93"/>
      <c r="D63" s="8"/>
      <c r="E63" s="10"/>
      <c r="F63" s="17"/>
      <c r="G63" s="7"/>
      <c r="H63" s="36"/>
    </row>
    <row r="64" spans="1:8" s="4" customFormat="1" ht="18" customHeight="1">
      <c r="A64" s="18" t="s">
        <v>12</v>
      </c>
      <c r="B64" s="5">
        <f t="shared" si="1"/>
        <v>0</v>
      </c>
      <c r="C64" s="93"/>
      <c r="D64" s="8"/>
      <c r="E64" s="10"/>
      <c r="F64" s="17"/>
      <c r="G64" s="7"/>
      <c r="H64" s="36"/>
    </row>
    <row r="65" spans="1:8" s="4" customFormat="1" ht="24.75" customHeight="1">
      <c r="A65" s="75" t="s">
        <v>63</v>
      </c>
      <c r="B65" s="5">
        <f t="shared" si="1"/>
        <v>0</v>
      </c>
      <c r="C65" s="8">
        <f>C66+C67</f>
        <v>0</v>
      </c>
      <c r="D65" s="8"/>
      <c r="E65" s="8">
        <f>E66+E67</f>
        <v>0</v>
      </c>
      <c r="F65" s="9">
        <f>F66+F67</f>
        <v>0</v>
      </c>
      <c r="G65" s="7"/>
      <c r="H65" s="36"/>
    </row>
    <row r="66" spans="1:8" s="4" customFormat="1" ht="21.75" customHeight="1">
      <c r="A66" s="18" t="s">
        <v>13</v>
      </c>
      <c r="B66" s="5">
        <f t="shared" si="1"/>
        <v>0</v>
      </c>
      <c r="C66" s="113"/>
      <c r="D66" s="113"/>
      <c r="E66" s="113"/>
      <c r="F66" s="114"/>
      <c r="G66" s="7"/>
      <c r="H66" s="36"/>
    </row>
    <row r="67" spans="1:8" s="4" customFormat="1" ht="18" customHeight="1">
      <c r="A67" s="18" t="s">
        <v>10</v>
      </c>
      <c r="B67" s="5">
        <f t="shared" si="1"/>
        <v>0</v>
      </c>
      <c r="C67" s="93"/>
      <c r="D67" s="8"/>
      <c r="E67" s="8">
        <f>E69+E68</f>
        <v>0</v>
      </c>
      <c r="F67" s="9">
        <f>F69+F68</f>
        <v>0</v>
      </c>
      <c r="G67" s="7"/>
      <c r="H67" s="36"/>
    </row>
    <row r="68" spans="1:8" s="4" customFormat="1" ht="19.5" customHeight="1">
      <c r="A68" s="18" t="s">
        <v>11</v>
      </c>
      <c r="B68" s="5">
        <f t="shared" si="1"/>
        <v>0</v>
      </c>
      <c r="C68" s="93"/>
      <c r="D68" s="8"/>
      <c r="E68" s="10"/>
      <c r="F68" s="17"/>
      <c r="G68" s="7"/>
      <c r="H68" s="36"/>
    </row>
    <row r="69" spans="1:8" s="4" customFormat="1" ht="19.5" customHeight="1">
      <c r="A69" s="18" t="s">
        <v>12</v>
      </c>
      <c r="B69" s="5">
        <f t="shared" si="1"/>
        <v>0</v>
      </c>
      <c r="C69" s="93"/>
      <c r="D69" s="8"/>
      <c r="E69" s="10"/>
      <c r="F69" s="17"/>
      <c r="G69" s="7"/>
      <c r="H69" s="36"/>
    </row>
    <row r="70" spans="1:8" s="7" customFormat="1" ht="25.5" customHeight="1">
      <c r="A70" s="75" t="s">
        <v>25</v>
      </c>
      <c r="B70" s="5">
        <f t="shared" si="1"/>
        <v>83.17699999999999</v>
      </c>
      <c r="C70" s="93"/>
      <c r="D70" s="8"/>
      <c r="E70" s="8">
        <f>E71+E72</f>
        <v>0</v>
      </c>
      <c r="F70" s="9">
        <f>F71+F72</f>
        <v>83.17699999999999</v>
      </c>
      <c r="H70" s="28"/>
    </row>
    <row r="71" spans="1:6" s="77" customFormat="1" ht="18.75">
      <c r="A71" s="18" t="s">
        <v>13</v>
      </c>
      <c r="B71" s="5">
        <f t="shared" si="1"/>
        <v>14.33</v>
      </c>
      <c r="C71" s="93"/>
      <c r="D71" s="8"/>
      <c r="E71" s="8"/>
      <c r="F71" s="115">
        <v>14.33</v>
      </c>
    </row>
    <row r="72" spans="1:6" s="77" customFormat="1" ht="18.75">
      <c r="A72" s="18" t="s">
        <v>10</v>
      </c>
      <c r="B72" s="5">
        <f t="shared" si="1"/>
        <v>68.847</v>
      </c>
      <c r="C72" s="93"/>
      <c r="D72" s="8"/>
      <c r="E72" s="8">
        <f>E74+E73</f>
        <v>0</v>
      </c>
      <c r="F72" s="9">
        <f>F74+F73</f>
        <v>68.847</v>
      </c>
    </row>
    <row r="73" spans="1:8" s="81" customFormat="1" ht="23.25" customHeight="1">
      <c r="A73" s="18" t="s">
        <v>11</v>
      </c>
      <c r="B73" s="5">
        <f t="shared" si="1"/>
        <v>68.847</v>
      </c>
      <c r="C73" s="93"/>
      <c r="D73" s="8"/>
      <c r="E73" s="10"/>
      <c r="F73" s="17">
        <v>68.847</v>
      </c>
      <c r="G73" s="7"/>
      <c r="H73" s="78"/>
    </row>
    <row r="74" spans="1:8" s="81" customFormat="1" ht="23.25" customHeight="1">
      <c r="A74" s="18" t="s">
        <v>12</v>
      </c>
      <c r="B74" s="5">
        <f t="shared" si="1"/>
        <v>0</v>
      </c>
      <c r="C74" s="93"/>
      <c r="D74" s="8"/>
      <c r="E74" s="10"/>
      <c r="F74" s="17"/>
      <c r="G74" s="7"/>
      <c r="H74" s="79"/>
    </row>
    <row r="75" spans="1:8" s="81" customFormat="1" ht="36.75" customHeight="1">
      <c r="A75" s="75" t="s">
        <v>64</v>
      </c>
      <c r="B75" s="5">
        <f t="shared" si="1"/>
        <v>282.373</v>
      </c>
      <c r="C75" s="93"/>
      <c r="D75" s="8"/>
      <c r="E75" s="8">
        <f>E76+E77</f>
        <v>18.242</v>
      </c>
      <c r="F75" s="9">
        <f>F76+F77</f>
        <v>264.131</v>
      </c>
      <c r="G75" s="7"/>
      <c r="H75" s="80"/>
    </row>
    <row r="76" spans="1:8" s="81" customFormat="1" ht="25.5" customHeight="1">
      <c r="A76" s="18" t="s">
        <v>13</v>
      </c>
      <c r="B76" s="5">
        <f t="shared" si="1"/>
        <v>74.284</v>
      </c>
      <c r="C76" s="93"/>
      <c r="D76" s="8"/>
      <c r="E76" s="138">
        <v>18.242</v>
      </c>
      <c r="F76" s="115">
        <v>56.042</v>
      </c>
      <c r="G76" s="58"/>
      <c r="H76" s="80"/>
    </row>
    <row r="77" spans="1:8" s="81" customFormat="1" ht="25.5" customHeight="1">
      <c r="A77" s="18" t="s">
        <v>10</v>
      </c>
      <c r="B77" s="5">
        <f t="shared" si="1"/>
        <v>208.089</v>
      </c>
      <c r="C77" s="93"/>
      <c r="D77" s="8"/>
      <c r="E77" s="8">
        <f>E79+E78</f>
        <v>0</v>
      </c>
      <c r="F77" s="9">
        <f>F79+F78</f>
        <v>208.089</v>
      </c>
      <c r="G77" s="7"/>
      <c r="H77" s="36"/>
    </row>
    <row r="78" spans="1:8" s="81" customFormat="1" ht="23.25" customHeight="1">
      <c r="A78" s="18" t="s">
        <v>11</v>
      </c>
      <c r="B78" s="5">
        <f t="shared" si="1"/>
        <v>0</v>
      </c>
      <c r="C78" s="93"/>
      <c r="D78" s="8"/>
      <c r="E78" s="8"/>
      <c r="F78" s="9"/>
      <c r="G78" s="59"/>
      <c r="H78" s="36"/>
    </row>
    <row r="79" spans="1:8" s="81" customFormat="1" ht="23.25" customHeight="1">
      <c r="A79" s="18" t="s">
        <v>12</v>
      </c>
      <c r="B79" s="5">
        <f t="shared" si="1"/>
        <v>208.089</v>
      </c>
      <c r="C79" s="93"/>
      <c r="D79" s="8"/>
      <c r="E79" s="8"/>
      <c r="F79" s="9">
        <v>208.089</v>
      </c>
      <c r="G79" s="7"/>
      <c r="H79" s="36"/>
    </row>
    <row r="80" spans="1:8" s="81" customFormat="1" ht="23.25" customHeight="1">
      <c r="A80" s="75" t="s">
        <v>8</v>
      </c>
      <c r="B80" s="5">
        <f t="shared" si="1"/>
        <v>1465.1750000000002</v>
      </c>
      <c r="C80" s="8"/>
      <c r="D80" s="8"/>
      <c r="E80" s="20">
        <f>E81+E82</f>
        <v>836.577</v>
      </c>
      <c r="F80" s="21">
        <f>F81+F82</f>
        <v>628.5980000000001</v>
      </c>
      <c r="G80" s="7"/>
      <c r="H80" s="36"/>
    </row>
    <row r="81" spans="1:6" s="81" customFormat="1" ht="21" customHeight="1">
      <c r="A81" s="18" t="s">
        <v>13</v>
      </c>
      <c r="B81" s="5">
        <f t="shared" si="1"/>
        <v>862.404</v>
      </c>
      <c r="C81" s="8"/>
      <c r="D81" s="8"/>
      <c r="E81" s="8">
        <v>672.097</v>
      </c>
      <c r="F81" s="9">
        <v>190.307</v>
      </c>
    </row>
    <row r="82" spans="1:6" s="77" customFormat="1" ht="18.75">
      <c r="A82" s="18" t="s">
        <v>10</v>
      </c>
      <c r="B82" s="5">
        <f t="shared" si="1"/>
        <v>602.7710000000001</v>
      </c>
      <c r="C82" s="8"/>
      <c r="D82" s="8"/>
      <c r="E82" s="20">
        <f>E83+E84</f>
        <v>164.48</v>
      </c>
      <c r="F82" s="21">
        <f>F83+F84</f>
        <v>438.29100000000005</v>
      </c>
    </row>
    <row r="83" spans="1:6" s="77" customFormat="1" ht="18.75">
      <c r="A83" s="18" t="s">
        <v>11</v>
      </c>
      <c r="B83" s="5">
        <f t="shared" si="1"/>
        <v>503.962</v>
      </c>
      <c r="C83" s="8"/>
      <c r="D83" s="8"/>
      <c r="E83" s="11">
        <v>162.696</v>
      </c>
      <c r="F83" s="12">
        <f>320.526+20.74</f>
        <v>341.266</v>
      </c>
    </row>
    <row r="84" spans="1:12" s="77" customFormat="1" ht="18.75">
      <c r="A84" s="18" t="s">
        <v>12</v>
      </c>
      <c r="B84" s="5">
        <f t="shared" si="1"/>
        <v>98.80900000000001</v>
      </c>
      <c r="C84" s="8"/>
      <c r="D84" s="8"/>
      <c r="E84" s="11">
        <v>1.784</v>
      </c>
      <c r="F84" s="12">
        <v>97.025</v>
      </c>
      <c r="I84" s="81"/>
      <c r="J84" s="81"/>
      <c r="L84" s="82"/>
    </row>
    <row r="85" spans="1:12" s="77" customFormat="1" ht="18">
      <c r="A85" s="75" t="s">
        <v>5</v>
      </c>
      <c r="B85" s="5">
        <f t="shared" si="1"/>
        <v>3123.236</v>
      </c>
      <c r="C85" s="20">
        <f>C86+C87</f>
        <v>389.296</v>
      </c>
      <c r="D85" s="95"/>
      <c r="E85" s="20">
        <f>E86+E87</f>
        <v>1681.613</v>
      </c>
      <c r="F85" s="21">
        <f>F86+F87</f>
        <v>1052.327</v>
      </c>
      <c r="I85" s="81"/>
      <c r="J85" s="81"/>
      <c r="L85" s="82"/>
    </row>
    <row r="86" spans="1:12" s="77" customFormat="1" ht="18.75">
      <c r="A86" s="18" t="s">
        <v>13</v>
      </c>
      <c r="B86" s="5">
        <f t="shared" si="1"/>
        <v>1996.3480000000002</v>
      </c>
      <c r="C86" s="20">
        <v>389.296</v>
      </c>
      <c r="D86" s="20"/>
      <c r="E86" s="8">
        <v>1269.226</v>
      </c>
      <c r="F86" s="9">
        <v>337.826</v>
      </c>
      <c r="I86" s="81"/>
      <c r="J86" s="81"/>
      <c r="L86" s="82"/>
    </row>
    <row r="87" spans="1:12" s="77" customFormat="1" ht="18.75">
      <c r="A87" s="18" t="s">
        <v>10</v>
      </c>
      <c r="B87" s="5">
        <f t="shared" si="1"/>
        <v>1126.888</v>
      </c>
      <c r="C87" s="8"/>
      <c r="D87" s="8"/>
      <c r="E87" s="20">
        <f>E88+E89</f>
        <v>412.38699999999994</v>
      </c>
      <c r="F87" s="21">
        <f>F88+F89</f>
        <v>714.501</v>
      </c>
      <c r="I87" s="81"/>
      <c r="J87" s="81"/>
      <c r="L87" s="82"/>
    </row>
    <row r="88" spans="1:12" s="77" customFormat="1" ht="18.75">
      <c r="A88" s="18" t="s">
        <v>11</v>
      </c>
      <c r="B88" s="5">
        <f t="shared" si="1"/>
        <v>1115.4879999999998</v>
      </c>
      <c r="C88" s="95"/>
      <c r="D88" s="95"/>
      <c r="E88" s="11">
        <f>368.71+32.277</f>
        <v>400.98699999999997</v>
      </c>
      <c r="F88" s="12">
        <v>714.501</v>
      </c>
      <c r="I88" s="81"/>
      <c r="J88" s="81"/>
      <c r="L88" s="82"/>
    </row>
    <row r="89" spans="1:12" s="77" customFormat="1" ht="18.75">
      <c r="A89" s="18" t="s">
        <v>12</v>
      </c>
      <c r="B89" s="5">
        <f t="shared" si="1"/>
        <v>11.4</v>
      </c>
      <c r="C89" s="95"/>
      <c r="D89" s="95"/>
      <c r="E89" s="11">
        <v>11.4</v>
      </c>
      <c r="F89" s="96"/>
      <c r="I89" s="81"/>
      <c r="J89" s="81"/>
      <c r="L89" s="82"/>
    </row>
    <row r="90" spans="1:12" s="77" customFormat="1" ht="36">
      <c r="A90" s="75" t="s">
        <v>65</v>
      </c>
      <c r="B90" s="5">
        <f t="shared" si="1"/>
        <v>6068.407</v>
      </c>
      <c r="C90" s="8"/>
      <c r="D90" s="8"/>
      <c r="E90" s="20">
        <f>E91+E92</f>
        <v>1439.469</v>
      </c>
      <c r="F90" s="21">
        <f>F91+F92</f>
        <v>4628.938</v>
      </c>
      <c r="I90" s="81"/>
      <c r="J90" s="81"/>
      <c r="L90" s="82"/>
    </row>
    <row r="91" spans="1:12" s="77" customFormat="1" ht="18.75">
      <c r="A91" s="18" t="s">
        <v>13</v>
      </c>
      <c r="B91" s="5">
        <f t="shared" si="1"/>
        <v>3062.693</v>
      </c>
      <c r="C91" s="8"/>
      <c r="D91" s="8"/>
      <c r="E91" s="20">
        <v>1396.978</v>
      </c>
      <c r="F91" s="21">
        <v>1665.715</v>
      </c>
      <c r="I91" s="81"/>
      <c r="J91" s="81"/>
      <c r="L91" s="82"/>
    </row>
    <row r="92" spans="1:12" s="77" customFormat="1" ht="17.25" customHeight="1">
      <c r="A92" s="18" t="s">
        <v>10</v>
      </c>
      <c r="B92" s="5">
        <f t="shared" si="1"/>
        <v>3005.714</v>
      </c>
      <c r="C92" s="8"/>
      <c r="D92" s="8"/>
      <c r="E92" s="20">
        <f>E93+E94</f>
        <v>42.491</v>
      </c>
      <c r="F92" s="21">
        <f>F93+F94</f>
        <v>2963.223</v>
      </c>
      <c r="I92" s="81"/>
      <c r="J92" s="81"/>
      <c r="L92" s="82"/>
    </row>
    <row r="93" spans="1:12" s="77" customFormat="1" ht="18.75">
      <c r="A93" s="18" t="s">
        <v>11</v>
      </c>
      <c r="B93" s="5">
        <f t="shared" si="1"/>
        <v>674.648</v>
      </c>
      <c r="C93" s="8"/>
      <c r="D93" s="8"/>
      <c r="E93" s="11">
        <v>18.917</v>
      </c>
      <c r="F93" s="12">
        <v>655.731</v>
      </c>
      <c r="I93" s="81"/>
      <c r="J93" s="81"/>
      <c r="L93" s="82"/>
    </row>
    <row r="94" spans="1:12" s="77" customFormat="1" ht="19.5" thickBot="1">
      <c r="A94" s="19" t="s">
        <v>12</v>
      </c>
      <c r="B94" s="34">
        <f t="shared" si="1"/>
        <v>2331.0660000000003</v>
      </c>
      <c r="C94" s="22"/>
      <c r="D94" s="22"/>
      <c r="E94" s="148">
        <v>23.574</v>
      </c>
      <c r="F94" s="151">
        <v>2307.492</v>
      </c>
      <c r="I94" s="81"/>
      <c r="J94" s="81"/>
      <c r="L94" s="82"/>
    </row>
    <row r="95" spans="1:12" s="77" customFormat="1" ht="18">
      <c r="A95" s="54" t="s">
        <v>21</v>
      </c>
      <c r="B95" s="55">
        <f t="shared" si="1"/>
        <v>489.853</v>
      </c>
      <c r="C95" s="134"/>
      <c r="D95" s="134"/>
      <c r="E95" s="134">
        <v>489.853</v>
      </c>
      <c r="F95" s="135"/>
      <c r="I95" s="81"/>
      <c r="J95" s="81"/>
      <c r="L95" s="82"/>
    </row>
    <row r="96" spans="1:12" s="77" customFormat="1" ht="18">
      <c r="A96" s="31" t="s">
        <v>22</v>
      </c>
      <c r="B96" s="5">
        <f t="shared" si="1"/>
        <v>95.228</v>
      </c>
      <c r="C96" s="11"/>
      <c r="D96" s="11"/>
      <c r="E96" s="11">
        <v>95.228</v>
      </c>
      <c r="F96" s="12"/>
      <c r="I96" s="81"/>
      <c r="J96" s="81"/>
      <c r="L96" s="82"/>
    </row>
    <row r="97" spans="1:12" s="77" customFormat="1" ht="18">
      <c r="A97" s="31" t="s">
        <v>27</v>
      </c>
      <c r="B97" s="5">
        <f t="shared" si="1"/>
        <v>735.841</v>
      </c>
      <c r="C97" s="11"/>
      <c r="D97" s="11"/>
      <c r="E97" s="11">
        <v>649.942</v>
      </c>
      <c r="F97" s="12">
        <v>85.899</v>
      </c>
      <c r="I97" s="81"/>
      <c r="J97" s="81"/>
      <c r="L97" s="82"/>
    </row>
    <row r="98" spans="1:12" s="77" customFormat="1" ht="18">
      <c r="A98" s="31" t="s">
        <v>23</v>
      </c>
      <c r="B98" s="5">
        <f t="shared" si="1"/>
        <v>847.932</v>
      </c>
      <c r="C98" s="11">
        <v>657.954</v>
      </c>
      <c r="D98" s="11"/>
      <c r="E98" s="11">
        <v>118.874</v>
      </c>
      <c r="F98" s="12">
        <v>71.104</v>
      </c>
      <c r="I98" s="81"/>
      <c r="J98" s="81"/>
      <c r="L98" s="82"/>
    </row>
    <row r="99" spans="1:12" s="77" customFormat="1" ht="23.25" customHeight="1" thickBot="1">
      <c r="A99" s="120" t="s">
        <v>24</v>
      </c>
      <c r="B99" s="143">
        <f t="shared" si="1"/>
        <v>515.379</v>
      </c>
      <c r="C99" s="147"/>
      <c r="D99" s="147"/>
      <c r="E99" s="148">
        <v>515.379</v>
      </c>
      <c r="F99" s="149"/>
      <c r="I99" s="81"/>
      <c r="J99" s="81"/>
      <c r="L99" s="82"/>
    </row>
    <row r="100" spans="1:12" s="77" customFormat="1" ht="18.75" thickBot="1">
      <c r="A100" s="30" t="s">
        <v>66</v>
      </c>
      <c r="B100" s="50">
        <f t="shared" si="1"/>
        <v>126042.76199999999</v>
      </c>
      <c r="C100" s="124">
        <f>C5+C10+C15+C20+C25+C30+C35+C40+C45+C50+C55+C60+C65+C70+C75+C80+C85+C90+C95+C96+C97+C98+C99</f>
        <v>53148.459</v>
      </c>
      <c r="D100" s="124">
        <f>D5+D10+D15+D20+D25+D30+D35+D40+D45+D50+D55+D60+D65+D70+D75+D80+D85+D90+D95+D96+D97+D98+D99</f>
        <v>1486.289</v>
      </c>
      <c r="E100" s="124">
        <f>E5+E10+E15+E20+E25+E30+E35+E40+E45+E50+E55+E60+E65+E70+E75+E80+E85+E90+E95+E96+E97+E98+E99</f>
        <v>32580.340999999997</v>
      </c>
      <c r="F100" s="51">
        <f>F5+F10+F15+F20+F25+F30+F35+F40+F45+F50+F55+F60+F65+F70+F75+F80+F85+F90+F95+F96+F97+F98+F99</f>
        <v>38827.673</v>
      </c>
      <c r="I100" s="81"/>
      <c r="J100" s="81"/>
      <c r="L100" s="82"/>
    </row>
    <row r="101" spans="1:12" s="77" customFormat="1" ht="18">
      <c r="A101"/>
      <c r="B101"/>
      <c r="C101" s="3"/>
      <c r="D101" s="3"/>
      <c r="E101" s="3"/>
      <c r="F101" s="3"/>
      <c r="I101" s="81"/>
      <c r="J101" s="81"/>
      <c r="L101" s="82"/>
    </row>
    <row r="102" spans="1:12" s="77" customFormat="1" ht="18">
      <c r="A102"/>
      <c r="B102"/>
      <c r="C102" s="3"/>
      <c r="D102" s="3"/>
      <c r="E102" s="3"/>
      <c r="F102" s="3"/>
      <c r="I102" s="81"/>
      <c r="J102" s="81"/>
      <c r="L102" s="82"/>
    </row>
    <row r="103" spans="1:12" s="77" customFormat="1" ht="18">
      <c r="A103"/>
      <c r="B103"/>
      <c r="C103" s="3"/>
      <c r="D103" s="3"/>
      <c r="E103" s="3"/>
      <c r="F103" s="3"/>
      <c r="I103" s="81"/>
      <c r="J103" s="81"/>
      <c r="L103" s="82"/>
    </row>
    <row r="104" spans="1:12" s="77" customFormat="1" ht="18">
      <c r="A104"/>
      <c r="B104"/>
      <c r="C104" s="3"/>
      <c r="D104" s="3"/>
      <c r="E104" s="3"/>
      <c r="F104" s="3"/>
      <c r="I104" s="81"/>
      <c r="J104" s="81"/>
      <c r="L104" s="82"/>
    </row>
    <row r="105" spans="1:12" s="77" customFormat="1" ht="18">
      <c r="A105"/>
      <c r="B105"/>
      <c r="C105" s="3"/>
      <c r="D105" s="3"/>
      <c r="E105" s="3"/>
      <c r="F105" s="3"/>
      <c r="I105" s="81"/>
      <c r="J105" s="81"/>
      <c r="L105" s="82"/>
    </row>
    <row r="106" spans="1:12" s="77" customFormat="1" ht="18">
      <c r="A106"/>
      <c r="B106"/>
      <c r="C106" s="3"/>
      <c r="D106" s="3"/>
      <c r="E106" s="3"/>
      <c r="F106" s="3"/>
      <c r="I106" s="81"/>
      <c r="J106" s="81"/>
      <c r="L106" s="82"/>
    </row>
    <row r="107" spans="1:12" s="77" customFormat="1" ht="18">
      <c r="A107"/>
      <c r="B107"/>
      <c r="C107" s="3"/>
      <c r="D107" s="3"/>
      <c r="E107" s="3"/>
      <c r="F107" s="3"/>
      <c r="I107" s="81"/>
      <c r="J107" s="81"/>
      <c r="L107" s="82"/>
    </row>
    <row r="108" spans="1:12" s="77" customFormat="1" ht="18">
      <c r="A108"/>
      <c r="B108"/>
      <c r="C108" s="3"/>
      <c r="D108" s="3"/>
      <c r="E108" s="3"/>
      <c r="F108" s="3"/>
      <c r="I108" s="81"/>
      <c r="J108" s="81"/>
      <c r="L108" s="82"/>
    </row>
    <row r="109" spans="1:12" s="77" customFormat="1" ht="18">
      <c r="A109"/>
      <c r="B109"/>
      <c r="C109" s="3"/>
      <c r="D109" s="3"/>
      <c r="E109" s="3"/>
      <c r="F109" s="3"/>
      <c r="I109" s="81"/>
      <c r="J109" s="81"/>
      <c r="L109" s="82"/>
    </row>
    <row r="110" spans="1:12" s="77" customFormat="1" ht="18">
      <c r="A110"/>
      <c r="B110"/>
      <c r="C110" s="3"/>
      <c r="D110" s="3"/>
      <c r="E110" s="3"/>
      <c r="F110" s="3"/>
      <c r="I110" s="81"/>
      <c r="J110" s="81"/>
      <c r="L110" s="82"/>
    </row>
    <row r="111" spans="1:12" s="77" customFormat="1" ht="18">
      <c r="A111"/>
      <c r="B111"/>
      <c r="C111" s="3"/>
      <c r="D111" s="3"/>
      <c r="E111" s="3"/>
      <c r="F111" s="3"/>
      <c r="I111" s="81"/>
      <c r="J111" s="81"/>
      <c r="L111" s="82"/>
    </row>
    <row r="112" spans="1:12" s="77" customFormat="1" ht="18">
      <c r="A112"/>
      <c r="B112"/>
      <c r="C112" s="3"/>
      <c r="D112" s="3"/>
      <c r="E112" s="3"/>
      <c r="F112" s="3"/>
      <c r="I112" s="81"/>
      <c r="J112" s="81"/>
      <c r="L112" s="82"/>
    </row>
    <row r="113" spans="1:12" s="77" customFormat="1" ht="18">
      <c r="A113"/>
      <c r="B113"/>
      <c r="C113" s="3"/>
      <c r="D113" s="3"/>
      <c r="E113" s="3"/>
      <c r="F113" s="3"/>
      <c r="I113" s="81"/>
      <c r="J113" s="81"/>
      <c r="L113" s="82"/>
    </row>
    <row r="114" spans="1:12" s="77" customFormat="1" ht="18">
      <c r="A114"/>
      <c r="B114"/>
      <c r="C114" s="3"/>
      <c r="D114" s="3"/>
      <c r="E114" s="3"/>
      <c r="F114" s="3"/>
      <c r="I114" s="81"/>
      <c r="J114" s="81"/>
      <c r="L114" s="82"/>
    </row>
    <row r="115" spans="1:12" s="77" customFormat="1" ht="18">
      <c r="A115"/>
      <c r="B115"/>
      <c r="C115" s="3"/>
      <c r="D115" s="3"/>
      <c r="E115" s="3"/>
      <c r="F115" s="3"/>
      <c r="I115" s="81"/>
      <c r="J115" s="81"/>
      <c r="L115" s="82"/>
    </row>
    <row r="116" spans="1:12" s="77" customFormat="1" ht="18">
      <c r="A116"/>
      <c r="B116"/>
      <c r="C116" s="3"/>
      <c r="D116" s="3"/>
      <c r="E116" s="3"/>
      <c r="F116" s="3"/>
      <c r="I116" s="81"/>
      <c r="J116" s="81"/>
      <c r="L116" s="82"/>
    </row>
    <row r="117" spans="1:12" s="77" customFormat="1" ht="18">
      <c r="A117"/>
      <c r="B117"/>
      <c r="C117" s="3"/>
      <c r="D117" s="3"/>
      <c r="E117" s="3"/>
      <c r="F117" s="3"/>
      <c r="I117" s="81"/>
      <c r="J117" s="81"/>
      <c r="L117" s="82"/>
    </row>
    <row r="118" spans="1:12" s="77" customFormat="1" ht="18">
      <c r="A118"/>
      <c r="B118"/>
      <c r="C118" s="3"/>
      <c r="D118" s="3"/>
      <c r="E118" s="3"/>
      <c r="F118" s="3"/>
      <c r="I118" s="81"/>
      <c r="J118" s="81"/>
      <c r="L118" s="82"/>
    </row>
    <row r="119" spans="1:12" s="77" customFormat="1" ht="18">
      <c r="A119"/>
      <c r="B119"/>
      <c r="C119" s="3"/>
      <c r="D119" s="3"/>
      <c r="E119" s="3"/>
      <c r="F119" s="3"/>
      <c r="I119" s="81"/>
      <c r="J119" s="81"/>
      <c r="L119" s="82"/>
    </row>
    <row r="120" spans="1:12" s="77" customFormat="1" ht="18">
      <c r="A120"/>
      <c r="B120"/>
      <c r="C120" s="3"/>
      <c r="D120" s="3"/>
      <c r="E120" s="3"/>
      <c r="F120" s="3"/>
      <c r="I120" s="81"/>
      <c r="J120" s="81"/>
      <c r="L120" s="82"/>
    </row>
    <row r="121" spans="1:12" s="77" customFormat="1" ht="18">
      <c r="A121"/>
      <c r="B121"/>
      <c r="C121" s="3"/>
      <c r="D121" s="3"/>
      <c r="E121" s="3"/>
      <c r="F121" s="3"/>
      <c r="I121" s="81"/>
      <c r="J121" s="81"/>
      <c r="L121" s="82"/>
    </row>
    <row r="122" spans="1:12" s="77" customFormat="1" ht="18">
      <c r="A122"/>
      <c r="B122"/>
      <c r="C122" s="3"/>
      <c r="D122" s="3"/>
      <c r="E122" s="3"/>
      <c r="F122" s="3"/>
      <c r="I122" s="81"/>
      <c r="J122" s="81"/>
      <c r="L122" s="82"/>
    </row>
    <row r="123" spans="1:12" s="77" customFormat="1" ht="18">
      <c r="A123"/>
      <c r="B123"/>
      <c r="C123" s="3"/>
      <c r="D123" s="3"/>
      <c r="E123" s="3"/>
      <c r="F123" s="3"/>
      <c r="I123" s="81"/>
      <c r="J123" s="81"/>
      <c r="L123" s="82"/>
    </row>
    <row r="124" spans="1:12" s="77" customFormat="1" ht="18">
      <c r="A124"/>
      <c r="B124"/>
      <c r="C124" s="3"/>
      <c r="D124" s="3"/>
      <c r="E124" s="3"/>
      <c r="F124" s="3"/>
      <c r="I124" s="81"/>
      <c r="J124" s="81"/>
      <c r="L124" s="82"/>
    </row>
    <row r="125" spans="1:12" s="77" customFormat="1" ht="18">
      <c r="A125"/>
      <c r="B125"/>
      <c r="C125" s="3"/>
      <c r="D125" s="3"/>
      <c r="E125" s="3"/>
      <c r="F125" s="3"/>
      <c r="I125" s="81"/>
      <c r="J125" s="81"/>
      <c r="L125" s="82"/>
    </row>
    <row r="126" spans="1:12" s="77" customFormat="1" ht="18">
      <c r="A126"/>
      <c r="B126"/>
      <c r="C126" s="3"/>
      <c r="D126" s="3"/>
      <c r="E126" s="3"/>
      <c r="F126" s="3"/>
      <c r="I126" s="81"/>
      <c r="J126" s="81"/>
      <c r="L126" s="82"/>
    </row>
    <row r="127" spans="1:12" s="77" customFormat="1" ht="18">
      <c r="A127"/>
      <c r="B127"/>
      <c r="C127" s="3"/>
      <c r="D127" s="3"/>
      <c r="E127" s="3"/>
      <c r="F127" s="3"/>
      <c r="I127" s="81"/>
      <c r="J127" s="81"/>
      <c r="L127" s="82"/>
    </row>
    <row r="128" spans="1:12" s="77" customFormat="1" ht="18">
      <c r="A128"/>
      <c r="B128"/>
      <c r="C128" s="3"/>
      <c r="D128" s="3"/>
      <c r="E128" s="3"/>
      <c r="F128" s="3"/>
      <c r="I128" s="81"/>
      <c r="J128" s="81"/>
      <c r="L128" s="82"/>
    </row>
    <row r="129" spans="1:12" s="77" customFormat="1" ht="18">
      <c r="A129"/>
      <c r="B129"/>
      <c r="C129" s="3"/>
      <c r="D129" s="3"/>
      <c r="E129" s="3"/>
      <c r="F129" s="3"/>
      <c r="I129" s="81"/>
      <c r="J129" s="81"/>
      <c r="L129" s="82"/>
    </row>
    <row r="130" spans="1:12" s="77" customFormat="1" ht="18">
      <c r="A130"/>
      <c r="B130"/>
      <c r="C130" s="3"/>
      <c r="D130" s="3"/>
      <c r="E130" s="3"/>
      <c r="F130" s="3"/>
      <c r="I130" s="81"/>
      <c r="J130" s="81"/>
      <c r="L130" s="82"/>
    </row>
    <row r="131" spans="1:12" s="77" customFormat="1" ht="18">
      <c r="A131"/>
      <c r="B131"/>
      <c r="C131" s="3"/>
      <c r="D131" s="3"/>
      <c r="E131" s="3"/>
      <c r="F131" s="3"/>
      <c r="I131" s="81"/>
      <c r="J131" s="81"/>
      <c r="L131" s="82"/>
    </row>
    <row r="132" spans="1:12" s="77" customFormat="1" ht="18">
      <c r="A132"/>
      <c r="B132"/>
      <c r="C132" s="3"/>
      <c r="D132" s="3"/>
      <c r="E132" s="3"/>
      <c r="F132" s="3"/>
      <c r="I132" s="81"/>
      <c r="J132" s="81"/>
      <c r="L132" s="82"/>
    </row>
    <row r="133" spans="1:12" s="77" customFormat="1" ht="18">
      <c r="A133"/>
      <c r="B133"/>
      <c r="C133" s="3"/>
      <c r="D133" s="3"/>
      <c r="E133" s="3"/>
      <c r="F133" s="3"/>
      <c r="I133" s="81"/>
      <c r="J133" s="81"/>
      <c r="L133" s="82"/>
    </row>
    <row r="134" spans="1:12" s="77" customFormat="1" ht="18">
      <c r="A134"/>
      <c r="B134"/>
      <c r="C134" s="3"/>
      <c r="D134" s="3"/>
      <c r="E134" s="3"/>
      <c r="F134" s="3"/>
      <c r="I134" s="81"/>
      <c r="J134" s="81"/>
      <c r="L134" s="82"/>
    </row>
    <row r="135" spans="1:12" s="77" customFormat="1" ht="18">
      <c r="A135"/>
      <c r="B135"/>
      <c r="C135" s="3"/>
      <c r="D135" s="3"/>
      <c r="E135" s="3"/>
      <c r="F135" s="3"/>
      <c r="I135" s="81"/>
      <c r="J135" s="81"/>
      <c r="L135" s="82"/>
    </row>
    <row r="136" spans="1:12" s="77" customFormat="1" ht="18">
      <c r="A136"/>
      <c r="B136"/>
      <c r="C136" s="3"/>
      <c r="D136" s="3"/>
      <c r="E136" s="3"/>
      <c r="F136" s="3"/>
      <c r="I136" s="81"/>
      <c r="J136" s="81"/>
      <c r="L136" s="82"/>
    </row>
    <row r="137" spans="1:12" s="77" customFormat="1" ht="18">
      <c r="A137"/>
      <c r="B137"/>
      <c r="C137" s="3"/>
      <c r="D137" s="3"/>
      <c r="E137" s="3"/>
      <c r="F137" s="3"/>
      <c r="I137" s="81"/>
      <c r="J137" s="81"/>
      <c r="L137" s="82"/>
    </row>
    <row r="138" spans="1:12" s="77" customFormat="1" ht="18">
      <c r="A138"/>
      <c r="B138"/>
      <c r="C138" s="3"/>
      <c r="D138" s="3"/>
      <c r="E138" s="3"/>
      <c r="F138" s="3"/>
      <c r="I138" s="81"/>
      <c r="J138" s="81"/>
      <c r="L138" s="82"/>
    </row>
    <row r="139" spans="1:12" s="77" customFormat="1" ht="18">
      <c r="A139"/>
      <c r="B139"/>
      <c r="C139" s="3"/>
      <c r="D139" s="3"/>
      <c r="E139" s="3"/>
      <c r="F139" s="3"/>
      <c r="I139" s="81"/>
      <c r="J139" s="81"/>
      <c r="L139" s="82"/>
    </row>
    <row r="140" spans="1:12" s="77" customFormat="1" ht="18">
      <c r="A140"/>
      <c r="B140"/>
      <c r="C140" s="3"/>
      <c r="D140" s="3"/>
      <c r="E140" s="3"/>
      <c r="F140" s="3"/>
      <c r="I140" s="81"/>
      <c r="J140" s="81"/>
      <c r="L140" s="82"/>
    </row>
    <row r="141" spans="1:12" s="77" customFormat="1" ht="18">
      <c r="A141"/>
      <c r="B141"/>
      <c r="C141" s="3"/>
      <c r="D141" s="3"/>
      <c r="E141" s="3"/>
      <c r="F141" s="3"/>
      <c r="I141" s="81"/>
      <c r="J141" s="81"/>
      <c r="L141" s="82"/>
    </row>
    <row r="142" spans="1:12" s="77" customFormat="1" ht="18">
      <c r="A142"/>
      <c r="B142"/>
      <c r="C142" s="3"/>
      <c r="D142" s="3"/>
      <c r="E142" s="3"/>
      <c r="F142" s="3"/>
      <c r="I142" s="81"/>
      <c r="J142" s="81"/>
      <c r="L142" s="82"/>
    </row>
    <row r="143" spans="1:12" s="77" customFormat="1" ht="18">
      <c r="A143"/>
      <c r="B143"/>
      <c r="C143" s="3"/>
      <c r="D143" s="3"/>
      <c r="E143" s="3"/>
      <c r="F143" s="3"/>
      <c r="I143" s="81"/>
      <c r="J143" s="81"/>
      <c r="L143" s="82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zoomScale="60" zoomScaleNormal="60" zoomScalePageLayoutView="0" workbookViewId="0" topLeftCell="A54">
      <selection activeCell="K22" sqref="K22"/>
    </sheetView>
  </sheetViews>
  <sheetFormatPr defaultColWidth="9.00390625" defaultRowHeight="12.75"/>
  <cols>
    <col min="1" max="1" width="56.25390625" style="0" customWidth="1"/>
    <col min="2" max="6" width="24.00390625" style="3" customWidth="1"/>
    <col min="7" max="14" width="9.125" style="3" customWidth="1"/>
  </cols>
  <sheetData>
    <row r="1" spans="1:6" s="38" customFormat="1" ht="23.25">
      <c r="A1" s="162" t="s">
        <v>32</v>
      </c>
      <c r="B1" s="162"/>
      <c r="C1" s="162"/>
      <c r="D1" s="162"/>
      <c r="E1" s="162"/>
      <c r="F1" s="162"/>
    </row>
    <row r="2" spans="1:6" s="42" customFormat="1" ht="23.25">
      <c r="A2" s="163" t="s">
        <v>55</v>
      </c>
      <c r="B2" s="163"/>
      <c r="C2" s="163"/>
      <c r="D2" s="165"/>
      <c r="E2" s="165"/>
      <c r="F2" s="165"/>
    </row>
    <row r="3" spans="1:6" ht="18.75" thickBot="1">
      <c r="A3" s="3"/>
      <c r="F3" s="73" t="s">
        <v>31</v>
      </c>
    </row>
    <row r="4" spans="1:6" s="1" customFormat="1" ht="29.25" customHeight="1" thickBot="1">
      <c r="A4" s="71" t="s">
        <v>35</v>
      </c>
      <c r="B4" s="44"/>
      <c r="C4" s="45" t="s">
        <v>0</v>
      </c>
      <c r="D4" s="45" t="s">
        <v>1</v>
      </c>
      <c r="E4" s="45" t="s">
        <v>2</v>
      </c>
      <c r="F4" s="46" t="s">
        <v>3</v>
      </c>
    </row>
    <row r="5" spans="1:6" s="2" customFormat="1" ht="57" customHeight="1">
      <c r="A5" s="153" t="s">
        <v>57</v>
      </c>
      <c r="B5" s="55">
        <f>C5+D5+E5+F5</f>
        <v>92583.725</v>
      </c>
      <c r="C5" s="97">
        <f>C6+C7</f>
        <v>42215.743</v>
      </c>
      <c r="D5" s="97">
        <f>D6+D7</f>
        <v>1290.905</v>
      </c>
      <c r="E5" s="97">
        <f>E6+E7</f>
        <v>23097.492</v>
      </c>
      <c r="F5" s="98">
        <f>F6+F7</f>
        <v>25979.585</v>
      </c>
    </row>
    <row r="6" spans="1:6" s="2" customFormat="1" ht="27" customHeight="1">
      <c r="A6" s="18" t="s">
        <v>13</v>
      </c>
      <c r="B6" s="5">
        <f aca="true" t="shared" si="0" ref="B6:B55">C6+D6+E6+F6</f>
        <v>76354.009</v>
      </c>
      <c r="C6" s="8">
        <f>42165.796</f>
        <v>42165.796</v>
      </c>
      <c r="D6" s="8">
        <v>1289.495</v>
      </c>
      <c r="E6" s="8">
        <v>22176.945</v>
      </c>
      <c r="F6" s="9">
        <v>10721.773</v>
      </c>
    </row>
    <row r="7" spans="1:6" s="2" customFormat="1" ht="20.25" customHeight="1">
      <c r="A7" s="18" t="s">
        <v>10</v>
      </c>
      <c r="B7" s="5">
        <f t="shared" si="0"/>
        <v>16229.716000000002</v>
      </c>
      <c r="C7" s="20">
        <f>C8+C9</f>
        <v>49.947</v>
      </c>
      <c r="D7" s="20">
        <f>D8+D9</f>
        <v>1.41</v>
      </c>
      <c r="E7" s="20">
        <f>E8+E9</f>
        <v>920.547</v>
      </c>
      <c r="F7" s="21">
        <f>F8+F9</f>
        <v>15257.812000000002</v>
      </c>
    </row>
    <row r="8" spans="1:6" s="2" customFormat="1" ht="21.75" customHeight="1">
      <c r="A8" s="18" t="s">
        <v>11</v>
      </c>
      <c r="B8" s="5">
        <f t="shared" si="0"/>
        <v>4963.624000000001</v>
      </c>
      <c r="C8" s="93">
        <v>24.125</v>
      </c>
      <c r="D8" s="93"/>
      <c r="E8" s="93">
        <v>257.93</v>
      </c>
      <c r="F8" s="94">
        <v>4681.569</v>
      </c>
    </row>
    <row r="9" spans="1:6" s="2" customFormat="1" ht="24.75" customHeight="1">
      <c r="A9" s="18" t="s">
        <v>12</v>
      </c>
      <c r="B9" s="5">
        <f t="shared" si="0"/>
        <v>11266.092</v>
      </c>
      <c r="C9" s="93">
        <v>25.822</v>
      </c>
      <c r="D9" s="93">
        <v>1.41</v>
      </c>
      <c r="E9" s="93">
        <v>662.617</v>
      </c>
      <c r="F9" s="94">
        <v>10576.243</v>
      </c>
    </row>
    <row r="10" spans="1:6" s="2" customFormat="1" ht="47.25" customHeight="1">
      <c r="A10" s="75" t="s">
        <v>58</v>
      </c>
      <c r="B10" s="5">
        <f t="shared" si="0"/>
        <v>6623.034</v>
      </c>
      <c r="C10" s="20">
        <f>C11+C12</f>
        <v>1055.02</v>
      </c>
      <c r="D10" s="20"/>
      <c r="E10" s="20">
        <f>E11+E12</f>
        <v>2415.249</v>
      </c>
      <c r="F10" s="21">
        <f>F11+F12</f>
        <v>3152.7650000000003</v>
      </c>
    </row>
    <row r="11" spans="1:6" s="2" customFormat="1" ht="21.75" customHeight="1">
      <c r="A11" s="18" t="s">
        <v>13</v>
      </c>
      <c r="B11" s="5">
        <f t="shared" si="0"/>
        <v>4264.366</v>
      </c>
      <c r="C11" s="8">
        <v>950</v>
      </c>
      <c r="D11" s="8"/>
      <c r="E11" s="8">
        <v>2005.993</v>
      </c>
      <c r="F11" s="9">
        <v>1308.373</v>
      </c>
    </row>
    <row r="12" spans="1:6" s="2" customFormat="1" ht="19.5" customHeight="1">
      <c r="A12" s="18" t="s">
        <v>10</v>
      </c>
      <c r="B12" s="5">
        <f t="shared" si="0"/>
        <v>2358.668</v>
      </c>
      <c r="C12" s="20">
        <f>C13+C14</f>
        <v>105.02</v>
      </c>
      <c r="D12" s="8"/>
      <c r="E12" s="20">
        <f>E13+E14</f>
        <v>409.256</v>
      </c>
      <c r="F12" s="21">
        <f>F13+F14</f>
        <v>1844.392</v>
      </c>
    </row>
    <row r="13" spans="1:6" s="2" customFormat="1" ht="17.25" customHeight="1">
      <c r="A13" s="18" t="s">
        <v>11</v>
      </c>
      <c r="B13" s="5">
        <f t="shared" si="0"/>
        <v>1351.7910000000002</v>
      </c>
      <c r="C13" s="11"/>
      <c r="D13" s="11"/>
      <c r="E13" s="11">
        <v>84.246</v>
      </c>
      <c r="F13" s="12">
        <v>1267.545</v>
      </c>
    </row>
    <row r="14" spans="1:6" s="2" customFormat="1" ht="17.25" customHeight="1">
      <c r="A14" s="18" t="s">
        <v>12</v>
      </c>
      <c r="B14" s="5">
        <f t="shared" si="0"/>
        <v>1006.877</v>
      </c>
      <c r="C14" s="11">
        <v>105.02</v>
      </c>
      <c r="D14" s="11"/>
      <c r="E14" s="11">
        <v>325.01</v>
      </c>
      <c r="F14" s="12">
        <v>576.847</v>
      </c>
    </row>
    <row r="15" spans="1:6" s="2" customFormat="1" ht="35.25" customHeight="1">
      <c r="A15" s="75" t="s">
        <v>6</v>
      </c>
      <c r="B15" s="5">
        <f t="shared" si="0"/>
        <v>1336.443</v>
      </c>
      <c r="C15" s="20">
        <f>C16+C17</f>
        <v>1336.443</v>
      </c>
      <c r="D15" s="8"/>
      <c r="E15" s="8"/>
      <c r="F15" s="21">
        <f>F16+F17</f>
        <v>0</v>
      </c>
    </row>
    <row r="16" spans="1:6" s="2" customFormat="1" ht="19.5" customHeight="1">
      <c r="A16" s="18" t="s">
        <v>13</v>
      </c>
      <c r="B16" s="5">
        <f t="shared" si="0"/>
        <v>1336.197</v>
      </c>
      <c r="C16" s="8">
        <v>1336.197</v>
      </c>
      <c r="D16" s="8"/>
      <c r="E16" s="20"/>
      <c r="F16" s="21"/>
    </row>
    <row r="17" spans="1:6" s="2" customFormat="1" ht="18" customHeight="1">
      <c r="A17" s="18" t="s">
        <v>10</v>
      </c>
      <c r="B17" s="5">
        <f t="shared" si="0"/>
        <v>0.246</v>
      </c>
      <c r="C17" s="20">
        <f>C18+C19</f>
        <v>0.246</v>
      </c>
      <c r="D17" s="8"/>
      <c r="E17" s="20">
        <f>E18+E19</f>
        <v>0</v>
      </c>
      <c r="F17" s="21">
        <f>F18+F19</f>
        <v>0</v>
      </c>
    </row>
    <row r="18" spans="1:6" s="2" customFormat="1" ht="19.5" customHeight="1">
      <c r="A18" s="18" t="s">
        <v>11</v>
      </c>
      <c r="B18" s="5">
        <f t="shared" si="0"/>
        <v>0.246</v>
      </c>
      <c r="C18" s="95">
        <v>0.246</v>
      </c>
      <c r="D18" s="95"/>
      <c r="E18" s="95"/>
      <c r="F18" s="96"/>
    </row>
    <row r="19" spans="1:6" s="2" customFormat="1" ht="19.5" customHeight="1">
      <c r="A19" s="18" t="s">
        <v>12</v>
      </c>
      <c r="B19" s="5">
        <f t="shared" si="0"/>
        <v>0</v>
      </c>
      <c r="C19" s="95"/>
      <c r="D19" s="95"/>
      <c r="E19" s="95"/>
      <c r="F19" s="96"/>
    </row>
    <row r="20" spans="1:6" s="2" customFormat="1" ht="51" customHeight="1">
      <c r="A20" s="75" t="s">
        <v>59</v>
      </c>
      <c r="B20" s="5">
        <f t="shared" si="0"/>
        <v>554.761</v>
      </c>
      <c r="C20" s="20">
        <f>C21+C22</f>
        <v>9.774</v>
      </c>
      <c r="D20" s="20">
        <f>D21+D22</f>
        <v>445.872</v>
      </c>
      <c r="E20" s="20">
        <f>E21+E22</f>
        <v>27.198</v>
      </c>
      <c r="F20" s="21">
        <f>F21+F22</f>
        <v>71.917</v>
      </c>
    </row>
    <row r="21" spans="1:6" s="2" customFormat="1" ht="21.75" customHeight="1">
      <c r="A21" s="18" t="s">
        <v>13</v>
      </c>
      <c r="B21" s="5">
        <f t="shared" si="0"/>
        <v>535.801</v>
      </c>
      <c r="C21" s="8">
        <v>9.774</v>
      </c>
      <c r="D21" s="8">
        <v>445.872</v>
      </c>
      <c r="E21" s="8">
        <v>27.198</v>
      </c>
      <c r="F21" s="9">
        <v>52.957</v>
      </c>
    </row>
    <row r="22" spans="1:6" s="2" customFormat="1" ht="21" customHeight="1">
      <c r="A22" s="18" t="s">
        <v>10</v>
      </c>
      <c r="B22" s="5">
        <f t="shared" si="0"/>
        <v>18.96</v>
      </c>
      <c r="C22" s="20">
        <f>C23+C24</f>
        <v>0</v>
      </c>
      <c r="D22" s="8"/>
      <c r="E22" s="20">
        <f>E23+E24</f>
        <v>0</v>
      </c>
      <c r="F22" s="21">
        <f>F23+F24</f>
        <v>18.96</v>
      </c>
    </row>
    <row r="23" spans="1:6" s="2" customFormat="1" ht="21.75" customHeight="1">
      <c r="A23" s="18" t="s">
        <v>11</v>
      </c>
      <c r="B23" s="5">
        <f t="shared" si="0"/>
        <v>18.96</v>
      </c>
      <c r="C23" s="95"/>
      <c r="D23" s="95"/>
      <c r="E23" s="11"/>
      <c r="F23" s="12">
        <v>18.96</v>
      </c>
    </row>
    <row r="24" spans="1:6" s="2" customFormat="1" ht="21" customHeight="1">
      <c r="A24" s="18" t="s">
        <v>12</v>
      </c>
      <c r="B24" s="5">
        <f t="shared" si="0"/>
        <v>0</v>
      </c>
      <c r="C24" s="95"/>
      <c r="D24" s="95"/>
      <c r="E24" s="95"/>
      <c r="F24" s="96"/>
    </row>
    <row r="25" spans="1:6" s="2" customFormat="1" ht="41.25" customHeight="1">
      <c r="A25" s="75" t="s">
        <v>7</v>
      </c>
      <c r="B25" s="5">
        <f t="shared" si="0"/>
        <v>13370.392</v>
      </c>
      <c r="C25" s="20">
        <f>C26+C27</f>
        <v>7256.086</v>
      </c>
      <c r="D25" s="20">
        <f>D26+D27</f>
        <v>0</v>
      </c>
      <c r="E25" s="20">
        <f>E26+E27</f>
        <v>2127.11</v>
      </c>
      <c r="F25" s="21">
        <f>F26+F27</f>
        <v>3987.196</v>
      </c>
    </row>
    <row r="26" spans="1:6" s="2" customFormat="1" ht="19.5" customHeight="1">
      <c r="A26" s="18" t="s">
        <v>13</v>
      </c>
      <c r="B26" s="5">
        <f t="shared" si="0"/>
        <v>10726.064</v>
      </c>
      <c r="C26" s="8">
        <v>7256.086</v>
      </c>
      <c r="D26" s="8"/>
      <c r="E26" s="8">
        <v>2062.404</v>
      </c>
      <c r="F26" s="9">
        <v>1407.574</v>
      </c>
    </row>
    <row r="27" spans="1:6" s="2" customFormat="1" ht="24.75" customHeight="1">
      <c r="A27" s="18" t="s">
        <v>10</v>
      </c>
      <c r="B27" s="5">
        <f t="shared" si="0"/>
        <v>2644.328</v>
      </c>
      <c r="C27" s="20">
        <f>C28+C29</f>
        <v>0</v>
      </c>
      <c r="D27" s="8"/>
      <c r="E27" s="20">
        <f>E28+E29</f>
        <v>64.706</v>
      </c>
      <c r="F27" s="21">
        <f>F28+F29</f>
        <v>2579.622</v>
      </c>
    </row>
    <row r="28" spans="1:6" s="2" customFormat="1" ht="25.5" customHeight="1">
      <c r="A28" s="18" t="s">
        <v>11</v>
      </c>
      <c r="B28" s="5">
        <f t="shared" si="0"/>
        <v>2608.945</v>
      </c>
      <c r="C28" s="95"/>
      <c r="D28" s="95"/>
      <c r="E28" s="11">
        <v>64.706</v>
      </c>
      <c r="F28" s="12">
        <f>2436.609+107.63</f>
        <v>2544.239</v>
      </c>
    </row>
    <row r="29" spans="1:6" s="2" customFormat="1" ht="20.25" customHeight="1">
      <c r="A29" s="18" t="s">
        <v>12</v>
      </c>
      <c r="B29" s="5">
        <f t="shared" si="0"/>
        <v>35.383</v>
      </c>
      <c r="C29" s="95"/>
      <c r="D29" s="95"/>
      <c r="E29" s="11"/>
      <c r="F29" s="12">
        <v>35.383</v>
      </c>
    </row>
    <row r="30" spans="1:6" s="2" customFormat="1" ht="50.25" customHeight="1">
      <c r="A30" s="75" t="s">
        <v>60</v>
      </c>
      <c r="B30" s="5">
        <f t="shared" si="0"/>
        <v>128.825</v>
      </c>
      <c r="C30" s="95"/>
      <c r="D30" s="95"/>
      <c r="E30" s="20">
        <f>E31+E32</f>
        <v>82.899</v>
      </c>
      <c r="F30" s="21">
        <f>F31+F32</f>
        <v>45.926</v>
      </c>
    </row>
    <row r="31" spans="1:6" s="2" customFormat="1" ht="22.5" customHeight="1">
      <c r="A31" s="18" t="s">
        <v>13</v>
      </c>
      <c r="B31" s="5">
        <f t="shared" si="0"/>
        <v>104.09</v>
      </c>
      <c r="C31" s="8"/>
      <c r="D31" s="8"/>
      <c r="E31" s="136">
        <v>82.899</v>
      </c>
      <c r="F31" s="137">
        <v>21.191</v>
      </c>
    </row>
    <row r="32" spans="1:6" s="2" customFormat="1" ht="24.75" customHeight="1">
      <c r="A32" s="18" t="s">
        <v>10</v>
      </c>
      <c r="B32" s="5">
        <f t="shared" si="0"/>
        <v>24.735</v>
      </c>
      <c r="C32" s="8"/>
      <c r="D32" s="8"/>
      <c r="E32" s="20">
        <f>E33+E34</f>
        <v>0</v>
      </c>
      <c r="F32" s="21">
        <f>F33+F34</f>
        <v>24.735</v>
      </c>
    </row>
    <row r="33" spans="1:6" s="2" customFormat="1" ht="18" customHeight="1">
      <c r="A33" s="18" t="s">
        <v>11</v>
      </c>
      <c r="B33" s="5">
        <f t="shared" si="0"/>
        <v>20.214</v>
      </c>
      <c r="C33" s="95"/>
      <c r="D33" s="95"/>
      <c r="E33" s="152"/>
      <c r="F33" s="150">
        <v>20.214</v>
      </c>
    </row>
    <row r="34" spans="1:6" s="2" customFormat="1" ht="18" customHeight="1">
      <c r="A34" s="18" t="s">
        <v>12</v>
      </c>
      <c r="B34" s="5">
        <f t="shared" si="0"/>
        <v>4.521</v>
      </c>
      <c r="C34" s="95"/>
      <c r="D34" s="95"/>
      <c r="E34" s="152"/>
      <c r="F34" s="150">
        <v>4.521</v>
      </c>
    </row>
    <row r="35" spans="1:6" s="2" customFormat="1" ht="38.25" customHeight="1">
      <c r="A35" s="75" t="s">
        <v>61</v>
      </c>
      <c r="B35" s="5">
        <f t="shared" si="0"/>
        <v>153.763</v>
      </c>
      <c r="C35" s="20">
        <f>C36+C37</f>
        <v>0</v>
      </c>
      <c r="D35" s="95"/>
      <c r="E35" s="20">
        <f>E36+E37</f>
        <v>0</v>
      </c>
      <c r="F35" s="21">
        <f>F36+F37</f>
        <v>153.763</v>
      </c>
    </row>
    <row r="36" spans="1:6" s="2" customFormat="1" ht="23.25" customHeight="1">
      <c r="A36" s="18" t="s">
        <v>13</v>
      </c>
      <c r="B36" s="5">
        <f t="shared" si="0"/>
        <v>138.612</v>
      </c>
      <c r="C36" s="8"/>
      <c r="D36" s="8"/>
      <c r="E36" s="8"/>
      <c r="F36" s="9">
        <v>138.612</v>
      </c>
    </row>
    <row r="37" spans="1:6" s="2" customFormat="1" ht="23.25" customHeight="1">
      <c r="A37" s="18" t="s">
        <v>10</v>
      </c>
      <c r="B37" s="5">
        <f t="shared" si="0"/>
        <v>15.151</v>
      </c>
      <c r="C37" s="20">
        <f>C38+C39</f>
        <v>0</v>
      </c>
      <c r="D37" s="8"/>
      <c r="E37" s="20">
        <f>E38+E39</f>
        <v>0</v>
      </c>
      <c r="F37" s="21">
        <f>F38+F39</f>
        <v>15.151</v>
      </c>
    </row>
    <row r="38" spans="1:6" s="2" customFormat="1" ht="23.25" customHeight="1">
      <c r="A38" s="18" t="s">
        <v>11</v>
      </c>
      <c r="B38" s="5">
        <f t="shared" si="0"/>
        <v>0</v>
      </c>
      <c r="C38" s="95"/>
      <c r="D38" s="95"/>
      <c r="E38" s="95"/>
      <c r="F38" s="12"/>
    </row>
    <row r="39" spans="1:6" s="2" customFormat="1" ht="23.25" customHeight="1">
      <c r="A39" s="18" t="s">
        <v>12</v>
      </c>
      <c r="B39" s="5">
        <f t="shared" si="0"/>
        <v>15.151</v>
      </c>
      <c r="C39" s="95"/>
      <c r="D39" s="95"/>
      <c r="E39" s="95"/>
      <c r="F39" s="12">
        <v>15.151</v>
      </c>
    </row>
    <row r="40" spans="1:6" s="2" customFormat="1" ht="42" customHeight="1">
      <c r="A40" s="75" t="s">
        <v>26</v>
      </c>
      <c r="B40" s="5">
        <f t="shared" si="0"/>
        <v>79.931</v>
      </c>
      <c r="C40" s="95">
        <f>C41+C42</f>
        <v>42.689</v>
      </c>
      <c r="D40" s="95"/>
      <c r="E40" s="95">
        <f>E41+E42</f>
        <v>37.242</v>
      </c>
      <c r="F40" s="21"/>
    </row>
    <row r="41" spans="1:6" s="2" customFormat="1" ht="19.5" customHeight="1">
      <c r="A41" s="18" t="s">
        <v>13</v>
      </c>
      <c r="B41" s="5">
        <f t="shared" si="0"/>
        <v>79.931</v>
      </c>
      <c r="C41" s="8">
        <v>42.689</v>
      </c>
      <c r="D41" s="8"/>
      <c r="E41" s="8">
        <v>37.242</v>
      </c>
      <c r="F41" s="9"/>
    </row>
    <row r="42" spans="1:6" s="2" customFormat="1" ht="19.5" customHeight="1">
      <c r="A42" s="18" t="s">
        <v>10</v>
      </c>
      <c r="B42" s="5">
        <f t="shared" si="0"/>
        <v>0</v>
      </c>
      <c r="C42" s="8"/>
      <c r="D42" s="8"/>
      <c r="E42" s="20">
        <f>E43+E44</f>
        <v>0</v>
      </c>
      <c r="F42" s="21">
        <f>F43+F44</f>
        <v>0</v>
      </c>
    </row>
    <row r="43" spans="1:6" s="2" customFormat="1" ht="19.5" customHeight="1">
      <c r="A43" s="18" t="s">
        <v>11</v>
      </c>
      <c r="B43" s="5">
        <f t="shared" si="0"/>
        <v>0</v>
      </c>
      <c r="C43" s="95"/>
      <c r="D43" s="95"/>
      <c r="E43" s="95"/>
      <c r="F43" s="12"/>
    </row>
    <row r="44" spans="1:6" s="2" customFormat="1" ht="19.5" customHeight="1">
      <c r="A44" s="18" t="s">
        <v>12</v>
      </c>
      <c r="B44" s="5">
        <f t="shared" si="0"/>
        <v>0</v>
      </c>
      <c r="C44" s="95"/>
      <c r="D44" s="95"/>
      <c r="E44" s="95"/>
      <c r="F44" s="12"/>
    </row>
    <row r="45" spans="1:6" s="2" customFormat="1" ht="24.75" customHeight="1">
      <c r="A45" s="31" t="s">
        <v>29</v>
      </c>
      <c r="B45" s="5">
        <f t="shared" si="0"/>
        <v>440.937</v>
      </c>
      <c r="C45" s="8"/>
      <c r="D45" s="8"/>
      <c r="E45" s="8">
        <f>E46+E47</f>
        <v>347.411</v>
      </c>
      <c r="F45" s="9">
        <f>F46+F47</f>
        <v>93.526</v>
      </c>
    </row>
    <row r="46" spans="1:6" s="2" customFormat="1" ht="24.75" customHeight="1">
      <c r="A46" s="18" t="s">
        <v>13</v>
      </c>
      <c r="B46" s="5">
        <f t="shared" si="0"/>
        <v>440.937</v>
      </c>
      <c r="C46" s="8"/>
      <c r="D46" s="8"/>
      <c r="E46" s="20">
        <v>347.411</v>
      </c>
      <c r="F46" s="21">
        <v>93.526</v>
      </c>
    </row>
    <row r="47" spans="1:6" s="2" customFormat="1" ht="24.75" customHeight="1">
      <c r="A47" s="18" t="s">
        <v>10</v>
      </c>
      <c r="B47" s="5">
        <f t="shared" si="0"/>
        <v>0</v>
      </c>
      <c r="C47" s="8"/>
      <c r="D47" s="8"/>
      <c r="E47" s="20">
        <f>E48+E49</f>
        <v>0</v>
      </c>
      <c r="F47" s="21">
        <f>F48+F49</f>
        <v>0</v>
      </c>
    </row>
    <row r="48" spans="1:6" s="2" customFormat="1" ht="24.75" customHeight="1">
      <c r="A48" s="18" t="s">
        <v>11</v>
      </c>
      <c r="B48" s="5">
        <f t="shared" si="0"/>
        <v>0</v>
      </c>
      <c r="C48" s="8"/>
      <c r="D48" s="8"/>
      <c r="E48" s="8"/>
      <c r="F48" s="9"/>
    </row>
    <row r="49" spans="1:6" s="2" customFormat="1" ht="24.75" customHeight="1">
      <c r="A49" s="18" t="s">
        <v>12</v>
      </c>
      <c r="B49" s="5">
        <f t="shared" si="0"/>
        <v>0</v>
      </c>
      <c r="C49" s="8"/>
      <c r="D49" s="8"/>
      <c r="E49" s="8"/>
      <c r="F49" s="9"/>
    </row>
    <row r="50" spans="1:6" s="2" customFormat="1" ht="24.75" customHeight="1">
      <c r="A50" s="31" t="s">
        <v>4</v>
      </c>
      <c r="B50" s="5">
        <f t="shared" si="0"/>
        <v>932.82</v>
      </c>
      <c r="C50" s="8">
        <f>C51+C52</f>
        <v>932.82</v>
      </c>
      <c r="D50" s="8"/>
      <c r="E50" s="8"/>
      <c r="F50" s="9"/>
    </row>
    <row r="51" spans="1:6" s="2" customFormat="1" ht="24.75" customHeight="1">
      <c r="A51" s="18" t="s">
        <v>13</v>
      </c>
      <c r="B51" s="5">
        <f t="shared" si="0"/>
        <v>932.82</v>
      </c>
      <c r="C51" s="20">
        <v>932.82</v>
      </c>
      <c r="D51" s="8"/>
      <c r="E51" s="20"/>
      <c r="F51" s="21"/>
    </row>
    <row r="52" spans="1:6" s="2" customFormat="1" ht="24.75" customHeight="1">
      <c r="A52" s="18" t="s">
        <v>10</v>
      </c>
      <c r="B52" s="5">
        <f t="shared" si="0"/>
        <v>0</v>
      </c>
      <c r="C52" s="20">
        <f>C53+C54</f>
        <v>0</v>
      </c>
      <c r="D52" s="8"/>
      <c r="E52" s="20">
        <f>E53+E54</f>
        <v>0</v>
      </c>
      <c r="F52" s="21">
        <f>F53+F54</f>
        <v>0</v>
      </c>
    </row>
    <row r="53" spans="1:6" s="2" customFormat="1" ht="24.75" customHeight="1">
      <c r="A53" s="18" t="s">
        <v>11</v>
      </c>
      <c r="B53" s="5">
        <f t="shared" si="0"/>
        <v>0</v>
      </c>
      <c r="C53" s="95"/>
      <c r="D53" s="8"/>
      <c r="E53" s="8"/>
      <c r="F53" s="9"/>
    </row>
    <row r="54" spans="1:6" s="2" customFormat="1" ht="24.75" customHeight="1">
      <c r="A54" s="18" t="s">
        <v>12</v>
      </c>
      <c r="B54" s="5">
        <f t="shared" si="0"/>
        <v>0</v>
      </c>
      <c r="C54" s="95"/>
      <c r="D54" s="8"/>
      <c r="E54" s="8"/>
      <c r="F54" s="9"/>
    </row>
    <row r="55" spans="1:6" s="2" customFormat="1" ht="50.25" customHeight="1">
      <c r="A55" s="75" t="s">
        <v>62</v>
      </c>
      <c r="B55" s="5">
        <f t="shared" si="0"/>
        <v>937.903</v>
      </c>
      <c r="C55" s="20">
        <f>C56+C57</f>
        <v>0</v>
      </c>
      <c r="D55" s="20">
        <f>D56+D57</f>
        <v>0</v>
      </c>
      <c r="E55" s="20">
        <f>E56+E57</f>
        <v>453.956</v>
      </c>
      <c r="F55" s="21">
        <f>F56+F57</f>
        <v>483.947</v>
      </c>
    </row>
    <row r="56" spans="1:6" s="2" customFormat="1" ht="26.25" customHeight="1">
      <c r="A56" s="18" t="s">
        <v>13</v>
      </c>
      <c r="B56" s="5">
        <f>F56+E56+D56+C56</f>
        <v>583.9970000000001</v>
      </c>
      <c r="C56" s="20"/>
      <c r="D56" s="20"/>
      <c r="E56" s="20">
        <v>453.956</v>
      </c>
      <c r="F56" s="21">
        <v>130.041</v>
      </c>
    </row>
    <row r="57" spans="1:6" s="2" customFormat="1" ht="26.25" customHeight="1">
      <c r="A57" s="18" t="s">
        <v>10</v>
      </c>
      <c r="B57" s="5">
        <f aca="true" t="shared" si="1" ref="B57:B100">C57+D57+E57+F57</f>
        <v>353.906</v>
      </c>
      <c r="C57" s="20">
        <f>C58+C59</f>
        <v>0</v>
      </c>
      <c r="D57" s="20">
        <f>D58+D59</f>
        <v>0</v>
      </c>
      <c r="E57" s="20">
        <f>E58+E59</f>
        <v>0</v>
      </c>
      <c r="F57" s="21">
        <f>F58+F59</f>
        <v>353.906</v>
      </c>
    </row>
    <row r="58" spans="1:6" s="2" customFormat="1" ht="26.25" customHeight="1">
      <c r="A58" s="18" t="s">
        <v>11</v>
      </c>
      <c r="B58" s="5">
        <f t="shared" si="1"/>
        <v>304.79</v>
      </c>
      <c r="C58" s="93"/>
      <c r="D58" s="8"/>
      <c r="E58" s="8"/>
      <c r="F58" s="9">
        <v>304.79</v>
      </c>
    </row>
    <row r="59" spans="1:6" s="2" customFormat="1" ht="26.25" customHeight="1">
      <c r="A59" s="18" t="s">
        <v>12</v>
      </c>
      <c r="B59" s="5">
        <f t="shared" si="1"/>
        <v>49.116</v>
      </c>
      <c r="C59" s="93"/>
      <c r="D59" s="8"/>
      <c r="E59" s="8"/>
      <c r="F59" s="9">
        <v>49.116</v>
      </c>
    </row>
    <row r="60" spans="1:6" s="2" customFormat="1" ht="24.75" customHeight="1">
      <c r="A60" s="75" t="s">
        <v>28</v>
      </c>
      <c r="B60" s="5">
        <f t="shared" si="1"/>
        <v>2270.41</v>
      </c>
      <c r="C60" s="8">
        <f>C61+C62</f>
        <v>2255.91</v>
      </c>
      <c r="D60" s="8"/>
      <c r="E60" s="8">
        <f>E61+E62</f>
        <v>0</v>
      </c>
      <c r="F60" s="9">
        <f>F61+F62</f>
        <v>14.5</v>
      </c>
    </row>
    <row r="61" spans="1:6" s="2" customFormat="1" ht="21.75" customHeight="1">
      <c r="A61" s="18" t="s">
        <v>13</v>
      </c>
      <c r="B61" s="5">
        <f t="shared" si="1"/>
        <v>2270.41</v>
      </c>
      <c r="C61" s="113">
        <v>2255.91</v>
      </c>
      <c r="D61" s="113"/>
      <c r="E61" s="113"/>
      <c r="F61" s="114">
        <v>14.5</v>
      </c>
    </row>
    <row r="62" spans="1:6" s="2" customFormat="1" ht="16.5" customHeight="1">
      <c r="A62" s="18" t="s">
        <v>10</v>
      </c>
      <c r="B62" s="5">
        <f t="shared" si="1"/>
        <v>0</v>
      </c>
      <c r="C62" s="93"/>
      <c r="D62" s="8"/>
      <c r="E62" s="8">
        <f>E64+E63</f>
        <v>0</v>
      </c>
      <c r="F62" s="9">
        <f>F64+F63</f>
        <v>0</v>
      </c>
    </row>
    <row r="63" spans="1:6" s="2" customFormat="1" ht="18" customHeight="1">
      <c r="A63" s="18" t="s">
        <v>11</v>
      </c>
      <c r="B63" s="5">
        <f t="shared" si="1"/>
        <v>0</v>
      </c>
      <c r="C63" s="93"/>
      <c r="D63" s="8"/>
      <c r="E63" s="10"/>
      <c r="F63" s="17"/>
    </row>
    <row r="64" spans="1:6" s="2" customFormat="1" ht="18" customHeight="1">
      <c r="A64" s="18" t="s">
        <v>12</v>
      </c>
      <c r="B64" s="5">
        <f t="shared" si="1"/>
        <v>0</v>
      </c>
      <c r="C64" s="93"/>
      <c r="D64" s="8"/>
      <c r="E64" s="10"/>
      <c r="F64" s="17"/>
    </row>
    <row r="65" spans="1:6" s="2" customFormat="1" ht="24.75" customHeight="1">
      <c r="A65" s="75" t="s">
        <v>63</v>
      </c>
      <c r="B65" s="5">
        <f t="shared" si="1"/>
        <v>0</v>
      </c>
      <c r="C65" s="8">
        <f>C66+C67</f>
        <v>0</v>
      </c>
      <c r="D65" s="8"/>
      <c r="E65" s="8">
        <f>E66+E67</f>
        <v>0</v>
      </c>
      <c r="F65" s="9">
        <f>F66+F67</f>
        <v>0</v>
      </c>
    </row>
    <row r="66" spans="1:6" s="2" customFormat="1" ht="21.75" customHeight="1">
      <c r="A66" s="18" t="s">
        <v>13</v>
      </c>
      <c r="B66" s="5">
        <f t="shared" si="1"/>
        <v>0</v>
      </c>
      <c r="C66" s="113"/>
      <c r="D66" s="113"/>
      <c r="E66" s="113"/>
      <c r="F66" s="114"/>
    </row>
    <row r="67" spans="1:6" s="2" customFormat="1" ht="18" customHeight="1">
      <c r="A67" s="18" t="s">
        <v>10</v>
      </c>
      <c r="B67" s="5">
        <f t="shared" si="1"/>
        <v>0</v>
      </c>
      <c r="C67" s="93"/>
      <c r="D67" s="8"/>
      <c r="E67" s="8">
        <f>E69+E68</f>
        <v>0</v>
      </c>
      <c r="F67" s="9">
        <f>F69+F68</f>
        <v>0</v>
      </c>
    </row>
    <row r="68" spans="1:6" s="2" customFormat="1" ht="19.5" customHeight="1">
      <c r="A68" s="18" t="s">
        <v>11</v>
      </c>
      <c r="B68" s="5">
        <f t="shared" si="1"/>
        <v>0</v>
      </c>
      <c r="C68" s="93"/>
      <c r="D68" s="8"/>
      <c r="E68" s="10"/>
      <c r="F68" s="17"/>
    </row>
    <row r="69" spans="1:6" s="2" customFormat="1" ht="19.5" customHeight="1">
      <c r="A69" s="18" t="s">
        <v>12</v>
      </c>
      <c r="B69" s="5">
        <f t="shared" si="1"/>
        <v>0</v>
      </c>
      <c r="C69" s="93"/>
      <c r="D69" s="8"/>
      <c r="E69" s="10"/>
      <c r="F69" s="17"/>
    </row>
    <row r="70" spans="1:6" s="6" customFormat="1" ht="35.25" customHeight="1">
      <c r="A70" s="75" t="s">
        <v>25</v>
      </c>
      <c r="B70" s="5">
        <f t="shared" si="1"/>
        <v>86.515</v>
      </c>
      <c r="C70" s="93"/>
      <c r="D70" s="8"/>
      <c r="E70" s="8">
        <f>E71+E72</f>
        <v>0</v>
      </c>
      <c r="F70" s="9">
        <f>F71+F72</f>
        <v>86.515</v>
      </c>
    </row>
    <row r="71" spans="1:6" ht="18.75">
      <c r="A71" s="18" t="s">
        <v>13</v>
      </c>
      <c r="B71" s="5">
        <f t="shared" si="1"/>
        <v>15.391</v>
      </c>
      <c r="C71" s="93"/>
      <c r="D71" s="8"/>
      <c r="E71" s="8"/>
      <c r="F71" s="115">
        <v>15.391</v>
      </c>
    </row>
    <row r="72" spans="1:6" ht="18.75">
      <c r="A72" s="18" t="s">
        <v>10</v>
      </c>
      <c r="B72" s="5">
        <f t="shared" si="1"/>
        <v>71.124</v>
      </c>
      <c r="C72" s="93"/>
      <c r="D72" s="8"/>
      <c r="E72" s="8">
        <f>E74+E73</f>
        <v>0</v>
      </c>
      <c r="F72" s="9">
        <f>F74+F73</f>
        <v>71.124</v>
      </c>
    </row>
    <row r="73" spans="1:6" s="38" customFormat="1" ht="23.25" customHeight="1">
      <c r="A73" s="18" t="s">
        <v>11</v>
      </c>
      <c r="B73" s="5">
        <f t="shared" si="1"/>
        <v>71.124</v>
      </c>
      <c r="C73" s="93"/>
      <c r="D73" s="8"/>
      <c r="E73" s="10"/>
      <c r="F73" s="17">
        <v>71.124</v>
      </c>
    </row>
    <row r="74" spans="1:6" s="38" customFormat="1" ht="23.25" customHeight="1">
      <c r="A74" s="18" t="s">
        <v>12</v>
      </c>
      <c r="B74" s="5">
        <f t="shared" si="1"/>
        <v>0</v>
      </c>
      <c r="C74" s="93"/>
      <c r="D74" s="8"/>
      <c r="E74" s="10"/>
      <c r="F74" s="17"/>
    </row>
    <row r="75" spans="1:6" s="38" customFormat="1" ht="32.25" customHeight="1">
      <c r="A75" s="75" t="s">
        <v>64</v>
      </c>
      <c r="B75" s="5">
        <f t="shared" si="1"/>
        <v>243.69199999999998</v>
      </c>
      <c r="C75" s="93"/>
      <c r="D75" s="8"/>
      <c r="E75" s="8">
        <f>E76+E77</f>
        <v>19.95</v>
      </c>
      <c r="F75" s="9">
        <f>F76+F77</f>
        <v>223.742</v>
      </c>
    </row>
    <row r="76" spans="1:6" s="38" customFormat="1" ht="23.25" customHeight="1">
      <c r="A76" s="18" t="s">
        <v>13</v>
      </c>
      <c r="B76" s="5">
        <f t="shared" si="1"/>
        <v>63.283</v>
      </c>
      <c r="C76" s="93"/>
      <c r="D76" s="8"/>
      <c r="E76" s="138">
        <v>19.95</v>
      </c>
      <c r="F76" s="115">
        <v>43.333</v>
      </c>
    </row>
    <row r="77" spans="1:6" s="38" customFormat="1" ht="23.25" customHeight="1">
      <c r="A77" s="18" t="s">
        <v>10</v>
      </c>
      <c r="B77" s="5">
        <f t="shared" si="1"/>
        <v>180.409</v>
      </c>
      <c r="C77" s="93"/>
      <c r="D77" s="8"/>
      <c r="E77" s="8">
        <f>E79+E78</f>
        <v>0</v>
      </c>
      <c r="F77" s="9">
        <f>F79+F78</f>
        <v>180.409</v>
      </c>
    </row>
    <row r="78" spans="1:6" s="38" customFormat="1" ht="23.25" customHeight="1">
      <c r="A78" s="18" t="s">
        <v>11</v>
      </c>
      <c r="B78" s="5">
        <f t="shared" si="1"/>
        <v>0</v>
      </c>
      <c r="C78" s="93"/>
      <c r="D78" s="8"/>
      <c r="E78" s="8"/>
      <c r="F78" s="9"/>
    </row>
    <row r="79" spans="1:6" s="38" customFormat="1" ht="23.25" customHeight="1">
      <c r="A79" s="18" t="s">
        <v>12</v>
      </c>
      <c r="B79" s="5">
        <f t="shared" si="1"/>
        <v>180.409</v>
      </c>
      <c r="C79" s="93"/>
      <c r="D79" s="8"/>
      <c r="E79" s="8"/>
      <c r="F79" s="9">
        <v>180.409</v>
      </c>
    </row>
    <row r="80" spans="1:6" s="38" customFormat="1" ht="23.25" customHeight="1">
      <c r="A80" s="75" t="s">
        <v>8</v>
      </c>
      <c r="B80" s="5">
        <f t="shared" si="1"/>
        <v>1670.5570000000002</v>
      </c>
      <c r="C80" s="8"/>
      <c r="D80" s="8"/>
      <c r="E80" s="20">
        <f>E81+E82</f>
        <v>1005.5020000000001</v>
      </c>
      <c r="F80" s="21">
        <f>F81+F82</f>
        <v>665.0550000000001</v>
      </c>
    </row>
    <row r="81" spans="1:6" s="38" customFormat="1" ht="33" customHeight="1">
      <c r="A81" s="18" t="s">
        <v>13</v>
      </c>
      <c r="B81" s="5">
        <f t="shared" si="1"/>
        <v>1039.741</v>
      </c>
      <c r="C81" s="8"/>
      <c r="D81" s="8"/>
      <c r="E81" s="8">
        <v>836.57</v>
      </c>
      <c r="F81" s="9">
        <v>203.171</v>
      </c>
    </row>
    <row r="82" spans="1:6" s="38" customFormat="1" ht="38.25" customHeight="1">
      <c r="A82" s="18" t="s">
        <v>10</v>
      </c>
      <c r="B82" s="5">
        <f t="shared" si="1"/>
        <v>630.816</v>
      </c>
      <c r="C82" s="8"/>
      <c r="D82" s="8"/>
      <c r="E82" s="20">
        <f>E83+E84</f>
        <v>168.932</v>
      </c>
      <c r="F82" s="21">
        <f>F83+F84</f>
        <v>461.884</v>
      </c>
    </row>
    <row r="83" spans="1:6" ht="18.75">
      <c r="A83" s="18" t="s">
        <v>11</v>
      </c>
      <c r="B83" s="5">
        <f t="shared" si="1"/>
        <v>530.048</v>
      </c>
      <c r="C83" s="8"/>
      <c r="D83" s="8"/>
      <c r="E83" s="11">
        <f>160.376+6.398</f>
        <v>166.774</v>
      </c>
      <c r="F83" s="12">
        <f>287.014+76.26</f>
        <v>363.274</v>
      </c>
    </row>
    <row r="84" spans="1:6" ht="18.75">
      <c r="A84" s="18" t="s">
        <v>12</v>
      </c>
      <c r="B84" s="5">
        <f t="shared" si="1"/>
        <v>100.768</v>
      </c>
      <c r="C84" s="8"/>
      <c r="D84" s="8"/>
      <c r="E84" s="11">
        <v>2.158</v>
      </c>
      <c r="F84" s="12">
        <v>98.61</v>
      </c>
    </row>
    <row r="85" spans="1:6" ht="18">
      <c r="A85" s="75" t="s">
        <v>5</v>
      </c>
      <c r="B85" s="5">
        <f t="shared" si="1"/>
        <v>3477.849</v>
      </c>
      <c r="C85" s="20">
        <f>C86+C87</f>
        <v>397.587</v>
      </c>
      <c r="D85" s="95"/>
      <c r="E85" s="20">
        <f>E86+E87</f>
        <v>1761.1290000000001</v>
      </c>
      <c r="F85" s="21">
        <f>F86+F87</f>
        <v>1319.133</v>
      </c>
    </row>
    <row r="86" spans="1:6" ht="18.75">
      <c r="A86" s="18" t="s">
        <v>13</v>
      </c>
      <c r="B86" s="5">
        <f t="shared" si="1"/>
        <v>2208.3810000000003</v>
      </c>
      <c r="C86" s="20">
        <v>397.587</v>
      </c>
      <c r="D86" s="20"/>
      <c r="E86" s="8">
        <v>1294.582</v>
      </c>
      <c r="F86" s="9">
        <v>516.212</v>
      </c>
    </row>
    <row r="87" spans="1:6" ht="18.75">
      <c r="A87" s="18" t="s">
        <v>10</v>
      </c>
      <c r="B87" s="5">
        <f t="shared" si="1"/>
        <v>1269.468</v>
      </c>
      <c r="C87" s="8"/>
      <c r="D87" s="8"/>
      <c r="E87" s="20">
        <f>E88+E89</f>
        <v>466.547</v>
      </c>
      <c r="F87" s="21">
        <f>F88+F89</f>
        <v>802.921</v>
      </c>
    </row>
    <row r="88" spans="1:6" ht="18.75">
      <c r="A88" s="18" t="s">
        <v>11</v>
      </c>
      <c r="B88" s="5">
        <f t="shared" si="1"/>
        <v>1258.548</v>
      </c>
      <c r="C88" s="95"/>
      <c r="D88" s="95"/>
      <c r="E88" s="11">
        <f>424.719+30.908</f>
        <v>455.627</v>
      </c>
      <c r="F88" s="12">
        <f>715.221+87.7</f>
        <v>802.921</v>
      </c>
    </row>
    <row r="89" spans="1:6" ht="18.75">
      <c r="A89" s="18" t="s">
        <v>12</v>
      </c>
      <c r="B89" s="5">
        <f t="shared" si="1"/>
        <v>10.92</v>
      </c>
      <c r="C89" s="95"/>
      <c r="D89" s="95"/>
      <c r="E89" s="11">
        <v>10.92</v>
      </c>
      <c r="F89" s="96"/>
    </row>
    <row r="90" spans="1:6" ht="36">
      <c r="A90" s="75" t="s">
        <v>65</v>
      </c>
      <c r="B90" s="5">
        <f t="shared" si="1"/>
        <v>6335.772</v>
      </c>
      <c r="C90" s="8"/>
      <c r="D90" s="8"/>
      <c r="E90" s="20">
        <f>E91+E92</f>
        <v>1512.8609999999999</v>
      </c>
      <c r="F90" s="21">
        <f>F91+F92</f>
        <v>4822.911</v>
      </c>
    </row>
    <row r="91" spans="1:6" ht="18.75">
      <c r="A91" s="18" t="s">
        <v>13</v>
      </c>
      <c r="B91" s="5">
        <f t="shared" si="1"/>
        <v>3210.423</v>
      </c>
      <c r="C91" s="8"/>
      <c r="D91" s="8"/>
      <c r="E91" s="20">
        <v>1461.801</v>
      </c>
      <c r="F91" s="21">
        <v>1748.622</v>
      </c>
    </row>
    <row r="92" spans="1:6" ht="18.75">
      <c r="A92" s="18" t="s">
        <v>10</v>
      </c>
      <c r="B92" s="5">
        <f t="shared" si="1"/>
        <v>3125.3489999999997</v>
      </c>
      <c r="C92" s="8"/>
      <c r="D92" s="8"/>
      <c r="E92" s="20">
        <f>E93+E94</f>
        <v>51.06</v>
      </c>
      <c r="F92" s="21">
        <f>F93+F94</f>
        <v>3074.2889999999998</v>
      </c>
    </row>
    <row r="93" spans="1:6" ht="18.75">
      <c r="A93" s="18" t="s">
        <v>11</v>
      </c>
      <c r="B93" s="5">
        <f t="shared" si="1"/>
        <v>730.6540000000001</v>
      </c>
      <c r="C93" s="8"/>
      <c r="D93" s="8"/>
      <c r="E93" s="11">
        <v>20.541</v>
      </c>
      <c r="F93" s="12">
        <v>710.113</v>
      </c>
    </row>
    <row r="94" spans="1:6" ht="19.5" thickBot="1">
      <c r="A94" s="19" t="s">
        <v>12</v>
      </c>
      <c r="B94" s="34">
        <f t="shared" si="1"/>
        <v>2394.6949999999997</v>
      </c>
      <c r="C94" s="22"/>
      <c r="D94" s="22"/>
      <c r="E94" s="148">
        <v>30.519</v>
      </c>
      <c r="F94" s="151">
        <v>2364.176</v>
      </c>
    </row>
    <row r="95" spans="1:6" ht="18">
      <c r="A95" s="54" t="s">
        <v>21</v>
      </c>
      <c r="B95" s="55">
        <f t="shared" si="1"/>
        <v>554.841</v>
      </c>
      <c r="C95" s="154"/>
      <c r="D95" s="154"/>
      <c r="E95" s="154">
        <v>554.841</v>
      </c>
      <c r="F95" s="155"/>
    </row>
    <row r="96" spans="1:6" ht="18">
      <c r="A96" s="31" t="s">
        <v>22</v>
      </c>
      <c r="B96" s="5">
        <f t="shared" si="1"/>
        <v>118.811</v>
      </c>
      <c r="C96" s="141"/>
      <c r="D96" s="141"/>
      <c r="E96" s="141">
        <v>118.811</v>
      </c>
      <c r="F96" s="142"/>
    </row>
    <row r="97" spans="1:6" ht="18">
      <c r="A97" s="31" t="s">
        <v>27</v>
      </c>
      <c r="B97" s="5">
        <f t="shared" si="1"/>
        <v>775.804</v>
      </c>
      <c r="C97" s="141"/>
      <c r="D97" s="141"/>
      <c r="E97" s="141">
        <v>680.81</v>
      </c>
      <c r="F97" s="142">
        <v>94.994</v>
      </c>
    </row>
    <row r="98" spans="1:6" ht="18">
      <c r="A98" s="31" t="s">
        <v>23</v>
      </c>
      <c r="B98" s="5">
        <f t="shared" si="1"/>
        <v>914.701</v>
      </c>
      <c r="C98" s="141">
        <v>697.818</v>
      </c>
      <c r="D98" s="141"/>
      <c r="E98" s="141">
        <v>151.008</v>
      </c>
      <c r="F98" s="142">
        <v>65.875</v>
      </c>
    </row>
    <row r="99" spans="1:6" ht="36.75" thickBot="1">
      <c r="A99" s="120" t="s">
        <v>24</v>
      </c>
      <c r="B99" s="143">
        <f t="shared" si="1"/>
        <v>591.649</v>
      </c>
      <c r="C99" s="141"/>
      <c r="D99" s="141"/>
      <c r="E99" s="141">
        <v>591.649</v>
      </c>
      <c r="F99" s="142"/>
    </row>
    <row r="100" spans="1:6" ht="18.75" thickBot="1">
      <c r="A100" s="30" t="s">
        <v>66</v>
      </c>
      <c r="B100" s="50">
        <f t="shared" si="1"/>
        <v>134183.135</v>
      </c>
      <c r="C100" s="124">
        <f>C5+C10+C15+C20+C25+C30+C35+C40+C45+C50+C55+C60+C65+C70+C75+C80+C85+C90+C95+C96+C97+C98+C99</f>
        <v>56199.89</v>
      </c>
      <c r="D100" s="124">
        <f>D5+D10+D15+D20+D25+D30+D35+D40+D45+D50+D55+D60+D65+D70+D75+D80+D85+D90+D95+D96+D97+D98+D99</f>
        <v>1736.777</v>
      </c>
      <c r="E100" s="124">
        <f>E5+E10+E15+E20+E25+E30+E35+E40+E45+E50+E55+E60+E65+E70+E75+E80+E85+E90+E95+E96+E97+E98+E99</f>
        <v>34985.117999999995</v>
      </c>
      <c r="F100" s="51">
        <f>F5+F10+F15+F20+F25+F30+F35+F40+F45+F50+F55+F60+F65+F70+F75+F80+F85+F90+F95+F96+F97+F98+F99</f>
        <v>41261.35</v>
      </c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zoomScale="60" zoomScaleNormal="60" zoomScalePageLayoutView="0" workbookViewId="0" topLeftCell="A56">
      <selection activeCell="I6" sqref="I6"/>
    </sheetView>
  </sheetViews>
  <sheetFormatPr defaultColWidth="9.00390625" defaultRowHeight="12.75"/>
  <cols>
    <col min="1" max="1" width="56.25390625" style="0" customWidth="1"/>
    <col min="2" max="2" width="24.00390625" style="0" customWidth="1"/>
    <col min="3" max="6" width="24.00390625" style="3" customWidth="1"/>
    <col min="7" max="9" width="9.125" style="3" customWidth="1"/>
  </cols>
  <sheetData>
    <row r="1" spans="1:6" s="38" customFormat="1" ht="23.25">
      <c r="A1" s="162" t="s">
        <v>32</v>
      </c>
      <c r="B1" s="162"/>
      <c r="C1" s="162"/>
      <c r="D1" s="162"/>
      <c r="E1" s="162"/>
      <c r="F1" s="162"/>
    </row>
    <row r="2" spans="1:6" s="42" customFormat="1" ht="23.25">
      <c r="A2" s="163" t="s">
        <v>54</v>
      </c>
      <c r="B2" s="163"/>
      <c r="C2" s="163"/>
      <c r="D2" s="165"/>
      <c r="E2" s="165"/>
      <c r="F2" s="165"/>
    </row>
    <row r="3" spans="1:6" ht="18.75" thickBot="1">
      <c r="A3" s="3"/>
      <c r="B3" s="3"/>
      <c r="F3" s="73" t="s">
        <v>31</v>
      </c>
    </row>
    <row r="4" spans="1:6" s="1" customFormat="1" ht="29.25" customHeight="1" thickBot="1">
      <c r="A4" s="43" t="s">
        <v>34</v>
      </c>
      <c r="B4" s="44"/>
      <c r="C4" s="45" t="s">
        <v>0</v>
      </c>
      <c r="D4" s="45" t="s">
        <v>1</v>
      </c>
      <c r="E4" s="45" t="s">
        <v>2</v>
      </c>
      <c r="F4" s="46" t="s">
        <v>3</v>
      </c>
    </row>
    <row r="5" spans="1:6" s="2" customFormat="1" ht="57" customHeight="1">
      <c r="A5" s="108" t="s">
        <v>57</v>
      </c>
      <c r="B5" s="128">
        <f>C5+D5+E5+F5</f>
        <v>97868.082</v>
      </c>
      <c r="C5" s="139">
        <f>C6+C7</f>
        <v>44605.992</v>
      </c>
      <c r="D5" s="139">
        <f>D6+D7</f>
        <v>934.178</v>
      </c>
      <c r="E5" s="139">
        <f>E6+E7</f>
        <v>24211.89</v>
      </c>
      <c r="F5" s="140">
        <f>F6+F7</f>
        <v>28116.022</v>
      </c>
    </row>
    <row r="6" spans="1:6" s="2" customFormat="1" ht="27" customHeight="1">
      <c r="A6" s="109" t="s">
        <v>13</v>
      </c>
      <c r="B6" s="8">
        <f aca="true" t="shared" si="0" ref="B6:B55">C6+D6+E6+F6</f>
        <v>80485.802</v>
      </c>
      <c r="C6" s="8">
        <f>44605.992-C7</f>
        <v>44538.504</v>
      </c>
      <c r="D6" s="8">
        <v>932.698</v>
      </c>
      <c r="E6" s="8">
        <f>24211.89-E7</f>
        <v>23214.757999999998</v>
      </c>
      <c r="F6" s="9">
        <f>28116.022-F7</f>
        <v>11799.842</v>
      </c>
    </row>
    <row r="7" spans="1:6" s="2" customFormat="1" ht="20.25" customHeight="1">
      <c r="A7" s="109" t="s">
        <v>10</v>
      </c>
      <c r="B7" s="8">
        <f t="shared" si="0"/>
        <v>17382.28</v>
      </c>
      <c r="C7" s="20">
        <f>C8+C9</f>
        <v>67.488</v>
      </c>
      <c r="D7" s="20">
        <f>D8+D9</f>
        <v>1.48</v>
      </c>
      <c r="E7" s="20">
        <f>E8+E9</f>
        <v>997.132</v>
      </c>
      <c r="F7" s="21">
        <f>F8+F9</f>
        <v>16316.18</v>
      </c>
    </row>
    <row r="8" spans="1:6" s="2" customFormat="1" ht="21.75" customHeight="1">
      <c r="A8" s="109" t="s">
        <v>11</v>
      </c>
      <c r="B8" s="8">
        <f t="shared" si="0"/>
        <v>5253.11</v>
      </c>
      <c r="C8" s="93">
        <f>21.475+9.639</f>
        <v>31.114</v>
      </c>
      <c r="D8" s="93"/>
      <c r="E8" s="93">
        <v>259.996</v>
      </c>
      <c r="F8" s="94">
        <v>4962</v>
      </c>
    </row>
    <row r="9" spans="1:6" s="2" customFormat="1" ht="24.75" customHeight="1">
      <c r="A9" s="109" t="s">
        <v>12</v>
      </c>
      <c r="B9" s="8">
        <f t="shared" si="0"/>
        <v>12129.17</v>
      </c>
      <c r="C9" s="93">
        <v>36.374</v>
      </c>
      <c r="D9" s="93">
        <v>1.48</v>
      </c>
      <c r="E9" s="93">
        <v>737.136</v>
      </c>
      <c r="F9" s="94">
        <v>11354.18</v>
      </c>
    </row>
    <row r="10" spans="1:6" s="2" customFormat="1" ht="47.25" customHeight="1">
      <c r="A10" s="110" t="s">
        <v>58</v>
      </c>
      <c r="B10" s="8">
        <f t="shared" si="0"/>
        <v>7093.934</v>
      </c>
      <c r="C10" s="20">
        <f>C11+C12</f>
        <v>1192.5600000000002</v>
      </c>
      <c r="D10" s="20"/>
      <c r="E10" s="20">
        <f>E11+E12</f>
        <v>2565.292</v>
      </c>
      <c r="F10" s="21">
        <f>F11+F12</f>
        <v>3336.0820000000003</v>
      </c>
    </row>
    <row r="11" spans="1:6" s="2" customFormat="1" ht="21.75" customHeight="1">
      <c r="A11" s="109" t="s">
        <v>13</v>
      </c>
      <c r="B11" s="8">
        <f t="shared" si="0"/>
        <v>4609.960999999999</v>
      </c>
      <c r="C11" s="8">
        <v>1061.39</v>
      </c>
      <c r="D11" s="8"/>
      <c r="E11" s="8">
        <v>2174.332</v>
      </c>
      <c r="F11" s="9">
        <v>1374.239</v>
      </c>
    </row>
    <row r="12" spans="1:6" s="2" customFormat="1" ht="19.5" customHeight="1">
      <c r="A12" s="109" t="s">
        <v>10</v>
      </c>
      <c r="B12" s="8">
        <f t="shared" si="0"/>
        <v>2483.973</v>
      </c>
      <c r="C12" s="20">
        <f>C13+C14</f>
        <v>131.17</v>
      </c>
      <c r="D12" s="8"/>
      <c r="E12" s="20">
        <f>E13+E14</f>
        <v>390.96</v>
      </c>
      <c r="F12" s="21">
        <f>F13+F14</f>
        <v>1961.843</v>
      </c>
    </row>
    <row r="13" spans="1:6" s="2" customFormat="1" ht="17.25" customHeight="1">
      <c r="A13" s="109" t="s">
        <v>11</v>
      </c>
      <c r="B13" s="8">
        <f t="shared" si="0"/>
        <v>1420.441</v>
      </c>
      <c r="C13" s="11"/>
      <c r="D13" s="11"/>
      <c r="E13" s="11">
        <v>87.81</v>
      </c>
      <c r="F13" s="12">
        <v>1332.631</v>
      </c>
    </row>
    <row r="14" spans="1:6" s="2" customFormat="1" ht="17.25" customHeight="1">
      <c r="A14" s="109" t="s">
        <v>12</v>
      </c>
      <c r="B14" s="8">
        <f t="shared" si="0"/>
        <v>1063.532</v>
      </c>
      <c r="C14" s="11">
        <v>131.17</v>
      </c>
      <c r="D14" s="11"/>
      <c r="E14" s="11">
        <v>303.15</v>
      </c>
      <c r="F14" s="12">
        <v>629.212</v>
      </c>
    </row>
    <row r="15" spans="1:6" s="2" customFormat="1" ht="35.25" customHeight="1">
      <c r="A15" s="110" t="s">
        <v>6</v>
      </c>
      <c r="B15" s="8">
        <f t="shared" si="0"/>
        <v>1439.178</v>
      </c>
      <c r="C15" s="20">
        <f>C16+C17</f>
        <v>1439.178</v>
      </c>
      <c r="D15" s="8"/>
      <c r="E15" s="8"/>
      <c r="F15" s="21">
        <f>F16+F17</f>
        <v>0</v>
      </c>
    </row>
    <row r="16" spans="1:6" s="2" customFormat="1" ht="19.5" customHeight="1">
      <c r="A16" s="109" t="s">
        <v>13</v>
      </c>
      <c r="B16" s="8">
        <f t="shared" si="0"/>
        <v>1437.766</v>
      </c>
      <c r="C16" s="8">
        <v>1437.766</v>
      </c>
      <c r="D16" s="8"/>
      <c r="E16" s="20"/>
      <c r="F16" s="21"/>
    </row>
    <row r="17" spans="1:6" s="2" customFormat="1" ht="18" customHeight="1">
      <c r="A17" s="109" t="s">
        <v>10</v>
      </c>
      <c r="B17" s="8">
        <f t="shared" si="0"/>
        <v>1.412</v>
      </c>
      <c r="C17" s="20">
        <f>C18+C19</f>
        <v>1.412</v>
      </c>
      <c r="D17" s="8"/>
      <c r="E17" s="20">
        <f>E18+E19</f>
        <v>0</v>
      </c>
      <c r="F17" s="21">
        <f>F18+F19</f>
        <v>0</v>
      </c>
    </row>
    <row r="18" spans="1:6" s="2" customFormat="1" ht="19.5" customHeight="1">
      <c r="A18" s="109" t="s">
        <v>11</v>
      </c>
      <c r="B18" s="8">
        <f t="shared" si="0"/>
        <v>1.412</v>
      </c>
      <c r="C18" s="95">
        <v>1.412</v>
      </c>
      <c r="D18" s="95"/>
      <c r="E18" s="95"/>
      <c r="F18" s="96"/>
    </row>
    <row r="19" spans="1:6" s="2" customFormat="1" ht="19.5" customHeight="1">
      <c r="A19" s="109" t="s">
        <v>12</v>
      </c>
      <c r="B19" s="8">
        <f t="shared" si="0"/>
        <v>0</v>
      </c>
      <c r="C19" s="95"/>
      <c r="D19" s="95"/>
      <c r="E19" s="95"/>
      <c r="F19" s="96"/>
    </row>
    <row r="20" spans="1:6" s="2" customFormat="1" ht="51" customHeight="1">
      <c r="A20" s="110" t="s">
        <v>59</v>
      </c>
      <c r="B20" s="8">
        <f t="shared" si="0"/>
        <v>941.1479999999999</v>
      </c>
      <c r="C20" s="20">
        <f>C21+C22</f>
        <v>23.595</v>
      </c>
      <c r="D20" s="20">
        <f>D21+D22</f>
        <v>808.877</v>
      </c>
      <c r="E20" s="20">
        <f>E21+E22</f>
        <v>26.708</v>
      </c>
      <c r="F20" s="21">
        <f>F21+F22</f>
        <v>81.96799999999999</v>
      </c>
    </row>
    <row r="21" spans="1:6" s="2" customFormat="1" ht="21.75" customHeight="1">
      <c r="A21" s="109" t="s">
        <v>13</v>
      </c>
      <c r="B21" s="8">
        <f t="shared" si="0"/>
        <v>921.7479999999999</v>
      </c>
      <c r="C21" s="8">
        <v>23.595</v>
      </c>
      <c r="D21" s="8">
        <v>808.877</v>
      </c>
      <c r="E21" s="8">
        <v>26.708</v>
      </c>
      <c r="F21" s="9">
        <v>62.568</v>
      </c>
    </row>
    <row r="22" spans="1:6" s="2" customFormat="1" ht="21" customHeight="1">
      <c r="A22" s="109" t="s">
        <v>10</v>
      </c>
      <c r="B22" s="8">
        <f t="shared" si="0"/>
        <v>19.4</v>
      </c>
      <c r="C22" s="20">
        <f>C23+C24</f>
        <v>0</v>
      </c>
      <c r="D22" s="8"/>
      <c r="E22" s="20">
        <f>E23+E24</f>
        <v>0</v>
      </c>
      <c r="F22" s="21">
        <f>F23+F24</f>
        <v>19.4</v>
      </c>
    </row>
    <row r="23" spans="1:6" s="2" customFormat="1" ht="21.75" customHeight="1">
      <c r="A23" s="109" t="s">
        <v>11</v>
      </c>
      <c r="B23" s="8">
        <f t="shared" si="0"/>
        <v>19.4</v>
      </c>
      <c r="C23" s="95"/>
      <c r="D23" s="95"/>
      <c r="E23" s="11"/>
      <c r="F23" s="12">
        <v>19.4</v>
      </c>
    </row>
    <row r="24" spans="1:6" s="2" customFormat="1" ht="21" customHeight="1">
      <c r="A24" s="109" t="s">
        <v>12</v>
      </c>
      <c r="B24" s="8">
        <f t="shared" si="0"/>
        <v>0</v>
      </c>
      <c r="C24" s="95"/>
      <c r="D24" s="95"/>
      <c r="E24" s="95"/>
      <c r="F24" s="96"/>
    </row>
    <row r="25" spans="1:6" s="2" customFormat="1" ht="41.25" customHeight="1">
      <c r="A25" s="110" t="s">
        <v>7</v>
      </c>
      <c r="B25" s="8">
        <f t="shared" si="0"/>
        <v>13872.087</v>
      </c>
      <c r="C25" s="20">
        <f>C26+C27</f>
        <v>7324.811</v>
      </c>
      <c r="D25" s="20">
        <f>D26+D27</f>
        <v>0</v>
      </c>
      <c r="E25" s="20">
        <f>E26+E27</f>
        <v>2362.0600000000004</v>
      </c>
      <c r="F25" s="21">
        <f>F26+F27</f>
        <v>4185.216</v>
      </c>
    </row>
    <row r="26" spans="1:6" s="2" customFormat="1" ht="19.5" customHeight="1">
      <c r="A26" s="109" t="s">
        <v>13</v>
      </c>
      <c r="B26" s="8">
        <f t="shared" si="0"/>
        <v>11150.091</v>
      </c>
      <c r="C26" s="8">
        <v>7324.811</v>
      </c>
      <c r="D26" s="8"/>
      <c r="E26" s="8">
        <v>2291.26</v>
      </c>
      <c r="F26" s="9">
        <v>1534.02</v>
      </c>
    </row>
    <row r="27" spans="1:6" s="2" customFormat="1" ht="24.75" customHeight="1">
      <c r="A27" s="109" t="s">
        <v>10</v>
      </c>
      <c r="B27" s="8">
        <f t="shared" si="0"/>
        <v>2721.996</v>
      </c>
      <c r="C27" s="20">
        <f>C28+C29</f>
        <v>0</v>
      </c>
      <c r="D27" s="8"/>
      <c r="E27" s="20">
        <f>E28+E29</f>
        <v>70.8</v>
      </c>
      <c r="F27" s="21">
        <f>F28+F29</f>
        <v>2651.196</v>
      </c>
    </row>
    <row r="28" spans="1:6" s="2" customFormat="1" ht="25.5" customHeight="1">
      <c r="A28" s="109" t="s">
        <v>11</v>
      </c>
      <c r="B28" s="8">
        <f t="shared" si="0"/>
        <v>2691.417</v>
      </c>
      <c r="C28" s="95"/>
      <c r="D28" s="95"/>
      <c r="E28" s="11">
        <v>70.8</v>
      </c>
      <c r="F28" s="12">
        <f>2475.189+145.428</f>
        <v>2620.6169999999997</v>
      </c>
    </row>
    <row r="29" spans="1:6" s="2" customFormat="1" ht="20.25" customHeight="1">
      <c r="A29" s="109" t="s">
        <v>12</v>
      </c>
      <c r="B29" s="8">
        <f t="shared" si="0"/>
        <v>30.579</v>
      </c>
      <c r="C29" s="95"/>
      <c r="D29" s="95"/>
      <c r="E29" s="11"/>
      <c r="F29" s="12">
        <v>30.579</v>
      </c>
    </row>
    <row r="30" spans="1:6" s="2" customFormat="1" ht="50.25" customHeight="1">
      <c r="A30" s="110" t="s">
        <v>60</v>
      </c>
      <c r="B30" s="8">
        <f t="shared" si="0"/>
        <v>137.123</v>
      </c>
      <c r="C30" s="95"/>
      <c r="D30" s="95"/>
      <c r="E30" s="20">
        <f>E31+E32</f>
        <v>85.37</v>
      </c>
      <c r="F30" s="21">
        <f>F31+F32</f>
        <v>51.753</v>
      </c>
    </row>
    <row r="31" spans="1:6" s="2" customFormat="1" ht="22.5" customHeight="1">
      <c r="A31" s="109" t="s">
        <v>13</v>
      </c>
      <c r="B31" s="8">
        <f t="shared" si="0"/>
        <v>108.29</v>
      </c>
      <c r="C31" s="8"/>
      <c r="D31" s="8"/>
      <c r="E31" s="136">
        <v>85.37</v>
      </c>
      <c r="F31" s="137">
        <v>22.92</v>
      </c>
    </row>
    <row r="32" spans="1:6" s="2" customFormat="1" ht="24.75" customHeight="1">
      <c r="A32" s="109" t="s">
        <v>10</v>
      </c>
      <c r="B32" s="8">
        <f t="shared" si="0"/>
        <v>28.833</v>
      </c>
      <c r="C32" s="8"/>
      <c r="D32" s="8"/>
      <c r="E32" s="20">
        <f>E33+E34</f>
        <v>0</v>
      </c>
      <c r="F32" s="21">
        <f>F33+F34</f>
        <v>28.833</v>
      </c>
    </row>
    <row r="33" spans="1:6" s="2" customFormat="1" ht="18" customHeight="1">
      <c r="A33" s="109" t="s">
        <v>11</v>
      </c>
      <c r="B33" s="8">
        <f t="shared" si="0"/>
        <v>23.669</v>
      </c>
      <c r="C33" s="95"/>
      <c r="D33" s="95"/>
      <c r="E33" s="152"/>
      <c r="F33" s="150">
        <v>23.669</v>
      </c>
    </row>
    <row r="34" spans="1:6" s="2" customFormat="1" ht="18" customHeight="1">
      <c r="A34" s="109" t="s">
        <v>12</v>
      </c>
      <c r="B34" s="8">
        <f t="shared" si="0"/>
        <v>5.164</v>
      </c>
      <c r="C34" s="95"/>
      <c r="D34" s="95"/>
      <c r="E34" s="152"/>
      <c r="F34" s="150">
        <v>5.164</v>
      </c>
    </row>
    <row r="35" spans="1:6" s="2" customFormat="1" ht="25.5" customHeight="1">
      <c r="A35" s="49" t="s">
        <v>61</v>
      </c>
      <c r="B35" s="8">
        <f t="shared" si="0"/>
        <v>233.704</v>
      </c>
      <c r="C35" s="20">
        <f>C36+C37</f>
        <v>0</v>
      </c>
      <c r="D35" s="95"/>
      <c r="E35" s="20">
        <f>E36+E37</f>
        <v>0</v>
      </c>
      <c r="F35" s="21">
        <f>F36+F37</f>
        <v>233.704</v>
      </c>
    </row>
    <row r="36" spans="1:6" s="2" customFormat="1" ht="23.25" customHeight="1">
      <c r="A36" s="109" t="s">
        <v>13</v>
      </c>
      <c r="B36" s="8">
        <f t="shared" si="0"/>
        <v>220.217</v>
      </c>
      <c r="C36" s="8"/>
      <c r="D36" s="8"/>
      <c r="E36" s="8"/>
      <c r="F36" s="9">
        <v>220.217</v>
      </c>
    </row>
    <row r="37" spans="1:6" s="2" customFormat="1" ht="23.25" customHeight="1">
      <c r="A37" s="109" t="s">
        <v>10</v>
      </c>
      <c r="B37" s="8">
        <f t="shared" si="0"/>
        <v>13.487</v>
      </c>
      <c r="C37" s="20">
        <f>C38+C39</f>
        <v>0</v>
      </c>
      <c r="D37" s="8"/>
      <c r="E37" s="20">
        <f>E38+E39</f>
        <v>0</v>
      </c>
      <c r="F37" s="21">
        <f>F38+F39</f>
        <v>13.487</v>
      </c>
    </row>
    <row r="38" spans="1:6" s="2" customFormat="1" ht="23.25" customHeight="1">
      <c r="A38" s="109" t="s">
        <v>11</v>
      </c>
      <c r="B38" s="8">
        <f t="shared" si="0"/>
        <v>0</v>
      </c>
      <c r="C38" s="95"/>
      <c r="D38" s="95"/>
      <c r="E38" s="95"/>
      <c r="F38" s="12"/>
    </row>
    <row r="39" spans="1:6" s="2" customFormat="1" ht="23.25" customHeight="1">
      <c r="A39" s="109" t="s">
        <v>12</v>
      </c>
      <c r="B39" s="8">
        <f t="shared" si="0"/>
        <v>13.487</v>
      </c>
      <c r="C39" s="95"/>
      <c r="D39" s="95"/>
      <c r="E39" s="95"/>
      <c r="F39" s="12">
        <v>13.487</v>
      </c>
    </row>
    <row r="40" spans="1:6" s="2" customFormat="1" ht="42" customHeight="1">
      <c r="A40" s="110" t="s">
        <v>26</v>
      </c>
      <c r="B40" s="8">
        <f t="shared" si="0"/>
        <v>147.87900000000002</v>
      </c>
      <c r="C40" s="95">
        <f>C41+C42</f>
        <v>49.578</v>
      </c>
      <c r="D40" s="95"/>
      <c r="E40" s="95">
        <f>E41+E42</f>
        <v>98.301</v>
      </c>
      <c r="F40" s="21"/>
    </row>
    <row r="41" spans="1:6" s="2" customFormat="1" ht="19.5" customHeight="1">
      <c r="A41" s="109" t="s">
        <v>13</v>
      </c>
      <c r="B41" s="8">
        <f t="shared" si="0"/>
        <v>147.87900000000002</v>
      </c>
      <c r="C41" s="156">
        <v>49.578</v>
      </c>
      <c r="D41" s="157"/>
      <c r="E41" s="157">
        <v>98.301</v>
      </c>
      <c r="F41" s="9"/>
    </row>
    <row r="42" spans="1:6" s="2" customFormat="1" ht="19.5" customHeight="1">
      <c r="A42" s="109" t="s">
        <v>10</v>
      </c>
      <c r="B42" s="8">
        <f t="shared" si="0"/>
        <v>0</v>
      </c>
      <c r="C42" s="8"/>
      <c r="D42" s="8"/>
      <c r="E42" s="20">
        <f>E43+E44</f>
        <v>0</v>
      </c>
      <c r="F42" s="21">
        <f>F43+F44</f>
        <v>0</v>
      </c>
    </row>
    <row r="43" spans="1:6" s="2" customFormat="1" ht="19.5" customHeight="1">
      <c r="A43" s="109" t="s">
        <v>11</v>
      </c>
      <c r="B43" s="8">
        <f t="shared" si="0"/>
        <v>0</v>
      </c>
      <c r="C43" s="95"/>
      <c r="D43" s="95"/>
      <c r="E43" s="95"/>
      <c r="F43" s="12"/>
    </row>
    <row r="44" spans="1:6" s="2" customFormat="1" ht="19.5" customHeight="1">
      <c r="A44" s="109" t="s">
        <v>12</v>
      </c>
      <c r="B44" s="8">
        <f t="shared" si="0"/>
        <v>0</v>
      </c>
      <c r="C44" s="95"/>
      <c r="D44" s="95"/>
      <c r="E44" s="95"/>
      <c r="F44" s="12"/>
    </row>
    <row r="45" spans="1:6" s="2" customFormat="1" ht="24.75" customHeight="1">
      <c r="A45" s="111" t="s">
        <v>29</v>
      </c>
      <c r="B45" s="8">
        <f t="shared" si="0"/>
        <v>437.213</v>
      </c>
      <c r="C45" s="8"/>
      <c r="D45" s="8"/>
      <c r="E45" s="8">
        <f>E46+E47</f>
        <v>363.059</v>
      </c>
      <c r="F45" s="9">
        <f>F46+F47</f>
        <v>74.154</v>
      </c>
    </row>
    <row r="46" spans="1:6" s="2" customFormat="1" ht="24.75" customHeight="1">
      <c r="A46" s="109" t="s">
        <v>13</v>
      </c>
      <c r="B46" s="8">
        <f t="shared" si="0"/>
        <v>437.213</v>
      </c>
      <c r="C46" s="8"/>
      <c r="D46" s="8"/>
      <c r="E46" s="20">
        <v>363.059</v>
      </c>
      <c r="F46" s="21">
        <v>74.154</v>
      </c>
    </row>
    <row r="47" spans="1:6" s="2" customFormat="1" ht="24.75" customHeight="1">
      <c r="A47" s="109" t="s">
        <v>10</v>
      </c>
      <c r="B47" s="8">
        <f t="shared" si="0"/>
        <v>0</v>
      </c>
      <c r="C47" s="8"/>
      <c r="D47" s="8"/>
      <c r="E47" s="20">
        <f>E48+E49</f>
        <v>0</v>
      </c>
      <c r="F47" s="21">
        <f>F48+F49</f>
        <v>0</v>
      </c>
    </row>
    <row r="48" spans="1:6" s="2" customFormat="1" ht="24.75" customHeight="1">
      <c r="A48" s="109" t="s">
        <v>11</v>
      </c>
      <c r="B48" s="8">
        <f t="shared" si="0"/>
        <v>0</v>
      </c>
      <c r="C48" s="8"/>
      <c r="D48" s="8"/>
      <c r="E48" s="8"/>
      <c r="F48" s="9"/>
    </row>
    <row r="49" spans="1:6" s="2" customFormat="1" ht="24.75" customHeight="1">
      <c r="A49" s="109" t="s">
        <v>12</v>
      </c>
      <c r="B49" s="8">
        <f t="shared" si="0"/>
        <v>0</v>
      </c>
      <c r="C49" s="8"/>
      <c r="D49" s="8"/>
      <c r="E49" s="8"/>
      <c r="F49" s="9"/>
    </row>
    <row r="50" spans="1:6" s="2" customFormat="1" ht="24.75" customHeight="1">
      <c r="A50" s="111" t="s">
        <v>4</v>
      </c>
      <c r="B50" s="8">
        <f t="shared" si="0"/>
        <v>1006.058</v>
      </c>
      <c r="C50" s="8">
        <f>C51+C52</f>
        <v>1006.058</v>
      </c>
      <c r="D50" s="8"/>
      <c r="E50" s="8"/>
      <c r="F50" s="9"/>
    </row>
    <row r="51" spans="1:6" s="2" customFormat="1" ht="24.75" customHeight="1">
      <c r="A51" s="109" t="s">
        <v>13</v>
      </c>
      <c r="B51" s="8">
        <f t="shared" si="0"/>
        <v>1006.058</v>
      </c>
      <c r="C51" s="20">
        <v>1006.058</v>
      </c>
      <c r="D51" s="8"/>
      <c r="E51" s="20"/>
      <c r="F51" s="21"/>
    </row>
    <row r="52" spans="1:6" s="2" customFormat="1" ht="24.75" customHeight="1">
      <c r="A52" s="109" t="s">
        <v>10</v>
      </c>
      <c r="B52" s="8">
        <f t="shared" si="0"/>
        <v>0</v>
      </c>
      <c r="C52" s="20">
        <f>C53+C54</f>
        <v>0</v>
      </c>
      <c r="D52" s="8"/>
      <c r="E52" s="20">
        <f>E53+E54</f>
        <v>0</v>
      </c>
      <c r="F52" s="21">
        <f>F53+F54</f>
        <v>0</v>
      </c>
    </row>
    <row r="53" spans="1:6" s="2" customFormat="1" ht="24.75" customHeight="1">
      <c r="A53" s="109" t="s">
        <v>11</v>
      </c>
      <c r="B53" s="8">
        <f t="shared" si="0"/>
        <v>0</v>
      </c>
      <c r="C53" s="95"/>
      <c r="D53" s="8"/>
      <c r="E53" s="8"/>
      <c r="F53" s="9"/>
    </row>
    <row r="54" spans="1:6" s="2" customFormat="1" ht="24.75" customHeight="1">
      <c r="A54" s="109" t="s">
        <v>12</v>
      </c>
      <c r="B54" s="8">
        <f t="shared" si="0"/>
        <v>0</v>
      </c>
      <c r="C54" s="95"/>
      <c r="D54" s="8"/>
      <c r="E54" s="8"/>
      <c r="F54" s="9"/>
    </row>
    <row r="55" spans="1:6" s="2" customFormat="1" ht="50.25" customHeight="1">
      <c r="A55" s="110" t="s">
        <v>62</v>
      </c>
      <c r="B55" s="8">
        <f t="shared" si="0"/>
        <v>946.614</v>
      </c>
      <c r="C55" s="20">
        <f>C56+C57</f>
        <v>0</v>
      </c>
      <c r="D55" s="20">
        <f>D56+D57</f>
        <v>0</v>
      </c>
      <c r="E55" s="20">
        <f>E56+E57</f>
        <v>431.974</v>
      </c>
      <c r="F55" s="21">
        <f>F56+F57</f>
        <v>514.6400000000001</v>
      </c>
    </row>
    <row r="56" spans="1:6" s="2" customFormat="1" ht="26.25" customHeight="1">
      <c r="A56" s="109" t="s">
        <v>13</v>
      </c>
      <c r="B56" s="8">
        <f>F56+E56+D56+C56</f>
        <v>575.876</v>
      </c>
      <c r="C56" s="20"/>
      <c r="D56" s="20"/>
      <c r="E56" s="8">
        <v>431.974</v>
      </c>
      <c r="F56" s="9">
        <v>143.902</v>
      </c>
    </row>
    <row r="57" spans="1:6" s="2" customFormat="1" ht="26.25" customHeight="1">
      <c r="A57" s="109" t="s">
        <v>10</v>
      </c>
      <c r="B57" s="8">
        <f aca="true" t="shared" si="1" ref="B57:B100">C57+D57+E57+F57</f>
        <v>370.73800000000006</v>
      </c>
      <c r="C57" s="20">
        <f>C58+C59</f>
        <v>0</v>
      </c>
      <c r="D57" s="20">
        <f>D58+D59</f>
        <v>0</v>
      </c>
      <c r="E57" s="20">
        <f>E58+E59</f>
        <v>0</v>
      </c>
      <c r="F57" s="21">
        <f>F58+F59</f>
        <v>370.73800000000006</v>
      </c>
    </row>
    <row r="58" spans="1:6" s="2" customFormat="1" ht="26.25" customHeight="1">
      <c r="A58" s="109" t="s">
        <v>11</v>
      </c>
      <c r="B58" s="8">
        <f t="shared" si="1"/>
        <v>325.071</v>
      </c>
      <c r="C58" s="93"/>
      <c r="D58" s="8"/>
      <c r="E58" s="8"/>
      <c r="F58" s="17">
        <v>325.071</v>
      </c>
    </row>
    <row r="59" spans="1:6" s="2" customFormat="1" ht="26.25" customHeight="1">
      <c r="A59" s="109" t="s">
        <v>12</v>
      </c>
      <c r="B59" s="8">
        <f t="shared" si="1"/>
        <v>45.667</v>
      </c>
      <c r="C59" s="93"/>
      <c r="D59" s="8"/>
      <c r="E59" s="8"/>
      <c r="F59" s="17">
        <v>45.667</v>
      </c>
    </row>
    <row r="60" spans="1:6" s="2" customFormat="1" ht="24.75" customHeight="1">
      <c r="A60" s="110" t="s">
        <v>28</v>
      </c>
      <c r="B60" s="8">
        <f t="shared" si="1"/>
        <v>2346.259</v>
      </c>
      <c r="C60" s="8">
        <f>C61+C62</f>
        <v>2329.459</v>
      </c>
      <c r="D60" s="8"/>
      <c r="E60" s="8">
        <f>E61+E62</f>
        <v>0</v>
      </c>
      <c r="F60" s="9">
        <f>F61+F62</f>
        <v>16.8</v>
      </c>
    </row>
    <row r="61" spans="1:6" s="2" customFormat="1" ht="21.75" customHeight="1">
      <c r="A61" s="109" t="s">
        <v>13</v>
      </c>
      <c r="B61" s="8">
        <f t="shared" si="1"/>
        <v>2346.259</v>
      </c>
      <c r="C61" s="113">
        <v>2329.459</v>
      </c>
      <c r="D61" s="113"/>
      <c r="E61" s="113"/>
      <c r="F61" s="114">
        <v>16.8</v>
      </c>
    </row>
    <row r="62" spans="1:6" s="2" customFormat="1" ht="16.5" customHeight="1">
      <c r="A62" s="109" t="s">
        <v>10</v>
      </c>
      <c r="B62" s="8">
        <f t="shared" si="1"/>
        <v>0</v>
      </c>
      <c r="C62" s="93"/>
      <c r="D62" s="8"/>
      <c r="E62" s="8">
        <f>E64+E63</f>
        <v>0</v>
      </c>
      <c r="F62" s="9">
        <f>F64+F63</f>
        <v>0</v>
      </c>
    </row>
    <row r="63" spans="1:6" s="2" customFormat="1" ht="18" customHeight="1">
      <c r="A63" s="109" t="s">
        <v>11</v>
      </c>
      <c r="B63" s="8">
        <f t="shared" si="1"/>
        <v>0</v>
      </c>
      <c r="C63" s="93"/>
      <c r="D63" s="8"/>
      <c r="E63" s="10"/>
      <c r="F63" s="17"/>
    </row>
    <row r="64" spans="1:6" s="2" customFormat="1" ht="18" customHeight="1">
      <c r="A64" s="109" t="s">
        <v>12</v>
      </c>
      <c r="B64" s="8">
        <f t="shared" si="1"/>
        <v>0</v>
      </c>
      <c r="C64" s="93"/>
      <c r="D64" s="8"/>
      <c r="E64" s="10"/>
      <c r="F64" s="17"/>
    </row>
    <row r="65" spans="1:6" s="2" customFormat="1" ht="24.75" customHeight="1">
      <c r="A65" s="110" t="s">
        <v>63</v>
      </c>
      <c r="B65" s="8">
        <f t="shared" si="1"/>
        <v>0</v>
      </c>
      <c r="C65" s="8">
        <f>C66+C67</f>
        <v>0</v>
      </c>
      <c r="D65" s="8"/>
      <c r="E65" s="8">
        <f>E66+E67</f>
        <v>0</v>
      </c>
      <c r="F65" s="9">
        <f>F66+F67</f>
        <v>0</v>
      </c>
    </row>
    <row r="66" spans="1:6" s="2" customFormat="1" ht="21.75" customHeight="1">
      <c r="A66" s="109" t="s">
        <v>13</v>
      </c>
      <c r="B66" s="8">
        <f t="shared" si="1"/>
        <v>0</v>
      </c>
      <c r="C66" s="113"/>
      <c r="D66" s="113"/>
      <c r="E66" s="113"/>
      <c r="F66" s="114"/>
    </row>
    <row r="67" spans="1:6" s="2" customFormat="1" ht="18" customHeight="1">
      <c r="A67" s="109" t="s">
        <v>10</v>
      </c>
      <c r="B67" s="8">
        <f t="shared" si="1"/>
        <v>0</v>
      </c>
      <c r="C67" s="93"/>
      <c r="D67" s="8"/>
      <c r="E67" s="8">
        <f>E69+E68</f>
        <v>0</v>
      </c>
      <c r="F67" s="9">
        <f>F69+F68</f>
        <v>0</v>
      </c>
    </row>
    <row r="68" spans="1:6" s="2" customFormat="1" ht="19.5" customHeight="1">
      <c r="A68" s="109" t="s">
        <v>11</v>
      </c>
      <c r="B68" s="8">
        <f t="shared" si="1"/>
        <v>0</v>
      </c>
      <c r="C68" s="93"/>
      <c r="D68" s="8"/>
      <c r="E68" s="10"/>
      <c r="F68" s="17"/>
    </row>
    <row r="69" spans="1:6" s="2" customFormat="1" ht="19.5" customHeight="1">
      <c r="A69" s="109" t="s">
        <v>12</v>
      </c>
      <c r="B69" s="8">
        <f t="shared" si="1"/>
        <v>0</v>
      </c>
      <c r="C69" s="93"/>
      <c r="D69" s="8"/>
      <c r="E69" s="10"/>
      <c r="F69" s="17"/>
    </row>
    <row r="70" spans="1:6" s="6" customFormat="1" ht="25.5" customHeight="1">
      <c r="A70" s="110" t="s">
        <v>25</v>
      </c>
      <c r="B70" s="8">
        <f t="shared" si="1"/>
        <v>97.331</v>
      </c>
      <c r="C70" s="93"/>
      <c r="D70" s="8"/>
      <c r="E70" s="8">
        <f>E71+E72</f>
        <v>0</v>
      </c>
      <c r="F70" s="9">
        <f>F71+F72</f>
        <v>97.331</v>
      </c>
    </row>
    <row r="71" spans="1:6" ht="18.75">
      <c r="A71" s="109" t="s">
        <v>13</v>
      </c>
      <c r="B71" s="8">
        <f t="shared" si="1"/>
        <v>20.06</v>
      </c>
      <c r="C71" s="93"/>
      <c r="D71" s="8"/>
      <c r="E71" s="8"/>
      <c r="F71" s="115">
        <v>20.06</v>
      </c>
    </row>
    <row r="72" spans="1:6" ht="18.75">
      <c r="A72" s="109" t="s">
        <v>10</v>
      </c>
      <c r="B72" s="8">
        <f t="shared" si="1"/>
        <v>77.271</v>
      </c>
      <c r="C72" s="93"/>
      <c r="D72" s="8"/>
      <c r="E72" s="8">
        <f>E74+E73</f>
        <v>0</v>
      </c>
      <c r="F72" s="9">
        <f>F74+F73</f>
        <v>77.271</v>
      </c>
    </row>
    <row r="73" spans="1:6" s="38" customFormat="1" ht="23.25" customHeight="1">
      <c r="A73" s="109" t="s">
        <v>11</v>
      </c>
      <c r="B73" s="8">
        <f t="shared" si="1"/>
        <v>77.271</v>
      </c>
      <c r="C73" s="93"/>
      <c r="D73" s="8"/>
      <c r="E73" s="10"/>
      <c r="F73" s="17">
        <v>77.271</v>
      </c>
    </row>
    <row r="74" spans="1:6" s="38" customFormat="1" ht="23.25" customHeight="1">
      <c r="A74" s="109" t="s">
        <v>12</v>
      </c>
      <c r="B74" s="8">
        <f t="shared" si="1"/>
        <v>0</v>
      </c>
      <c r="C74" s="93"/>
      <c r="D74" s="8"/>
      <c r="E74" s="10"/>
      <c r="F74" s="17"/>
    </row>
    <row r="75" spans="1:6" s="38" customFormat="1" ht="23.25" customHeight="1">
      <c r="A75" s="110" t="s">
        <v>64</v>
      </c>
      <c r="B75" s="8">
        <f t="shared" si="1"/>
        <v>258.17400000000004</v>
      </c>
      <c r="C75" s="93"/>
      <c r="D75" s="8"/>
      <c r="E75" s="8">
        <f>E76+E77</f>
        <v>21.434</v>
      </c>
      <c r="F75" s="9">
        <f>F76+F77</f>
        <v>236.74</v>
      </c>
    </row>
    <row r="76" spans="1:6" s="38" customFormat="1" ht="23.25" customHeight="1">
      <c r="A76" s="109" t="s">
        <v>13</v>
      </c>
      <c r="B76" s="8">
        <f t="shared" si="1"/>
        <v>74.559</v>
      </c>
      <c r="C76" s="93"/>
      <c r="D76" s="8"/>
      <c r="E76" s="138">
        <v>21.434</v>
      </c>
      <c r="F76" s="115">
        <v>53.125</v>
      </c>
    </row>
    <row r="77" spans="1:6" s="38" customFormat="1" ht="23.25" customHeight="1">
      <c r="A77" s="109" t="s">
        <v>10</v>
      </c>
      <c r="B77" s="8">
        <f t="shared" si="1"/>
        <v>183.615</v>
      </c>
      <c r="C77" s="93"/>
      <c r="D77" s="8"/>
      <c r="E77" s="8">
        <f>E79+E78</f>
        <v>0</v>
      </c>
      <c r="F77" s="9">
        <f>F79+F78</f>
        <v>183.615</v>
      </c>
    </row>
    <row r="78" spans="1:6" s="38" customFormat="1" ht="23.25" customHeight="1">
      <c r="A78" s="109" t="s">
        <v>11</v>
      </c>
      <c r="B78" s="8">
        <f t="shared" si="1"/>
        <v>0</v>
      </c>
      <c r="C78" s="93"/>
      <c r="D78" s="8"/>
      <c r="E78" s="8"/>
      <c r="F78" s="9"/>
    </row>
    <row r="79" spans="1:6" s="38" customFormat="1" ht="23.25" customHeight="1">
      <c r="A79" s="109" t="s">
        <v>12</v>
      </c>
      <c r="B79" s="8">
        <f t="shared" si="1"/>
        <v>183.615</v>
      </c>
      <c r="C79" s="93"/>
      <c r="D79" s="8"/>
      <c r="E79" s="8"/>
      <c r="F79" s="9">
        <v>183.615</v>
      </c>
    </row>
    <row r="80" spans="1:6" s="38" customFormat="1" ht="23.25" customHeight="1">
      <c r="A80" s="110" t="s">
        <v>8</v>
      </c>
      <c r="B80" s="8">
        <f t="shared" si="1"/>
        <v>1858.473</v>
      </c>
      <c r="C80" s="8"/>
      <c r="D80" s="8"/>
      <c r="E80" s="20">
        <f>E81+E82</f>
        <v>1096.105</v>
      </c>
      <c r="F80" s="21">
        <f>F81+F82</f>
        <v>762.368</v>
      </c>
    </row>
    <row r="81" spans="1:6" s="38" customFormat="1" ht="33" customHeight="1">
      <c r="A81" s="109" t="s">
        <v>13</v>
      </c>
      <c r="B81" s="8">
        <f t="shared" si="1"/>
        <v>1149.35</v>
      </c>
      <c r="C81" s="8"/>
      <c r="D81" s="8"/>
      <c r="E81" s="8">
        <v>920.606</v>
      </c>
      <c r="F81" s="9">
        <v>228.744</v>
      </c>
    </row>
    <row r="82" spans="1:6" s="38" customFormat="1" ht="38.25" customHeight="1">
      <c r="A82" s="109" t="s">
        <v>10</v>
      </c>
      <c r="B82" s="8">
        <f t="shared" si="1"/>
        <v>709.123</v>
      </c>
      <c r="C82" s="8"/>
      <c r="D82" s="8"/>
      <c r="E82" s="20">
        <f>E83+E84</f>
        <v>175.499</v>
      </c>
      <c r="F82" s="21">
        <f>F83+F84</f>
        <v>533.624</v>
      </c>
    </row>
    <row r="83" spans="1:6" ht="18.75">
      <c r="A83" s="109" t="s">
        <v>11</v>
      </c>
      <c r="B83" s="8">
        <f t="shared" si="1"/>
        <v>589.783</v>
      </c>
      <c r="C83" s="8"/>
      <c r="D83" s="8"/>
      <c r="E83" s="11">
        <f>165.153+8.16</f>
        <v>173.313</v>
      </c>
      <c r="F83" s="12">
        <f>360.63+55.84</f>
        <v>416.47</v>
      </c>
    </row>
    <row r="84" spans="1:6" ht="18.75">
      <c r="A84" s="109" t="s">
        <v>12</v>
      </c>
      <c r="B84" s="8">
        <f t="shared" si="1"/>
        <v>119.34</v>
      </c>
      <c r="C84" s="8"/>
      <c r="D84" s="8"/>
      <c r="E84" s="11">
        <v>2.186</v>
      </c>
      <c r="F84" s="12">
        <v>117.154</v>
      </c>
    </row>
    <row r="85" spans="1:6" ht="18">
      <c r="A85" s="110" t="s">
        <v>5</v>
      </c>
      <c r="B85" s="8">
        <f t="shared" si="1"/>
        <v>3993.672</v>
      </c>
      <c r="C85" s="20">
        <f>C86+C87</f>
        <v>425.065</v>
      </c>
      <c r="D85" s="95"/>
      <c r="E85" s="20">
        <f>E86+E87</f>
        <v>2603.281</v>
      </c>
      <c r="F85" s="21">
        <f>F86+F87</f>
        <v>965.326</v>
      </c>
    </row>
    <row r="86" spans="1:6" ht="18.75">
      <c r="A86" s="109" t="s">
        <v>13</v>
      </c>
      <c r="B86" s="8">
        <f t="shared" si="1"/>
        <v>2687.87</v>
      </c>
      <c r="C86" s="20">
        <v>425.065</v>
      </c>
      <c r="D86" s="20"/>
      <c r="E86" s="8">
        <v>1944.57</v>
      </c>
      <c r="F86" s="9">
        <v>318.235</v>
      </c>
    </row>
    <row r="87" spans="1:6" ht="18.75">
      <c r="A87" s="109" t="s">
        <v>10</v>
      </c>
      <c r="B87" s="8">
        <f t="shared" si="1"/>
        <v>1305.8020000000001</v>
      </c>
      <c r="C87" s="8"/>
      <c r="D87" s="8"/>
      <c r="E87" s="20">
        <f>E88+E89</f>
        <v>658.711</v>
      </c>
      <c r="F87" s="21">
        <f>F88+F89</f>
        <v>647.091</v>
      </c>
    </row>
    <row r="88" spans="1:6" ht="18.75">
      <c r="A88" s="109" t="s">
        <v>11</v>
      </c>
      <c r="B88" s="8">
        <f t="shared" si="1"/>
        <v>1292.842</v>
      </c>
      <c r="C88" s="95"/>
      <c r="D88" s="95"/>
      <c r="E88" s="11">
        <f>566.818+78.933</f>
        <v>645.751</v>
      </c>
      <c r="F88" s="12">
        <f>556.443+90.648</f>
        <v>647.091</v>
      </c>
    </row>
    <row r="89" spans="1:6" ht="18.75">
      <c r="A89" s="109" t="s">
        <v>12</v>
      </c>
      <c r="B89" s="8">
        <f t="shared" si="1"/>
        <v>12.96</v>
      </c>
      <c r="C89" s="95"/>
      <c r="D89" s="95"/>
      <c r="E89" s="11">
        <v>12.96</v>
      </c>
      <c r="F89" s="96"/>
    </row>
    <row r="90" spans="1:6" ht="36">
      <c r="A90" s="110" t="s">
        <v>65</v>
      </c>
      <c r="B90" s="8">
        <f t="shared" si="1"/>
        <v>6820.126</v>
      </c>
      <c r="C90" s="8"/>
      <c r="D90" s="8"/>
      <c r="E90" s="20">
        <f>E91+E92</f>
        <v>1564.357</v>
      </c>
      <c r="F90" s="21">
        <f>F91+F92</f>
        <v>5255.769</v>
      </c>
    </row>
    <row r="91" spans="1:6" ht="18.75">
      <c r="A91" s="109" t="s">
        <v>13</v>
      </c>
      <c r="B91" s="8">
        <f t="shared" si="1"/>
        <v>3410.491</v>
      </c>
      <c r="C91" s="8"/>
      <c r="D91" s="8"/>
      <c r="E91" s="20">
        <v>1515.868</v>
      </c>
      <c r="F91" s="21">
        <v>1894.623</v>
      </c>
    </row>
    <row r="92" spans="1:6" ht="18.75">
      <c r="A92" s="109" t="s">
        <v>10</v>
      </c>
      <c r="B92" s="8">
        <f t="shared" si="1"/>
        <v>3409.6349999999998</v>
      </c>
      <c r="C92" s="8"/>
      <c r="D92" s="8"/>
      <c r="E92" s="20">
        <f>E93+E94</f>
        <v>48.489000000000004</v>
      </c>
      <c r="F92" s="21">
        <f>F93+F94</f>
        <v>3361.1459999999997</v>
      </c>
    </row>
    <row r="93" spans="1:6" ht="18.75">
      <c r="A93" s="109" t="s">
        <v>11</v>
      </c>
      <c r="B93" s="8">
        <f t="shared" si="1"/>
        <v>756.934</v>
      </c>
      <c r="C93" s="8"/>
      <c r="D93" s="8"/>
      <c r="E93" s="11">
        <v>21.444</v>
      </c>
      <c r="F93" s="12">
        <v>735.49</v>
      </c>
    </row>
    <row r="94" spans="1:6" ht="19.5" thickBot="1">
      <c r="A94" s="116" t="s">
        <v>12</v>
      </c>
      <c r="B94" s="22">
        <f t="shared" si="1"/>
        <v>2652.701</v>
      </c>
      <c r="C94" s="22"/>
      <c r="D94" s="22"/>
      <c r="E94" s="148">
        <v>27.045</v>
      </c>
      <c r="F94" s="151">
        <v>2625.656</v>
      </c>
    </row>
    <row r="95" spans="1:6" ht="18">
      <c r="A95" s="54" t="s">
        <v>21</v>
      </c>
      <c r="B95" s="55">
        <f t="shared" si="1"/>
        <v>580.901</v>
      </c>
      <c r="C95" s="158"/>
      <c r="D95" s="158"/>
      <c r="E95" s="158">
        <v>580.901</v>
      </c>
      <c r="F95" s="159"/>
    </row>
    <row r="96" spans="1:6" ht="18">
      <c r="A96" s="31" t="s">
        <v>22</v>
      </c>
      <c r="B96" s="5">
        <f t="shared" si="1"/>
        <v>105.689</v>
      </c>
      <c r="C96" s="99"/>
      <c r="D96" s="99"/>
      <c r="E96" s="99">
        <v>105.689</v>
      </c>
      <c r="F96" s="100"/>
    </row>
    <row r="97" spans="1:6" ht="18">
      <c r="A97" s="31" t="s">
        <v>27</v>
      </c>
      <c r="B97" s="5">
        <f t="shared" si="1"/>
        <v>828.021</v>
      </c>
      <c r="C97" s="99"/>
      <c r="D97" s="99"/>
      <c r="E97" s="99">
        <v>719.208</v>
      </c>
      <c r="F97" s="100">
        <v>108.813</v>
      </c>
    </row>
    <row r="98" spans="1:6" ht="18">
      <c r="A98" s="31" t="s">
        <v>23</v>
      </c>
      <c r="B98" s="5">
        <f t="shared" si="1"/>
        <v>1076.3970000000002</v>
      </c>
      <c r="C98" s="99">
        <v>842.118</v>
      </c>
      <c r="D98" s="99"/>
      <c r="E98" s="99">
        <v>168.47</v>
      </c>
      <c r="F98" s="100">
        <v>65.809</v>
      </c>
    </row>
    <row r="99" spans="1:6" ht="36.75" thickBot="1">
      <c r="A99" s="120" t="s">
        <v>24</v>
      </c>
      <c r="B99" s="121">
        <f t="shared" si="1"/>
        <v>672.839</v>
      </c>
      <c r="C99" s="99"/>
      <c r="D99" s="99"/>
      <c r="E99" s="99">
        <v>672.839</v>
      </c>
      <c r="F99" s="100"/>
    </row>
    <row r="100" spans="1:6" ht="18.75" thickBot="1">
      <c r="A100" s="30" t="s">
        <v>66</v>
      </c>
      <c r="B100" s="50">
        <f t="shared" si="1"/>
        <v>142760.902</v>
      </c>
      <c r="C100" s="124">
        <f>C5+C10+C15+C20+C25+C30+C35+C40+C45+C50+C55+C60+C65+C70+C75+C80+C85+C90+C95+C96+C97+C98+C99</f>
        <v>59238.414000000004</v>
      </c>
      <c r="D100" s="124">
        <f>D5+D10+D15+D20+D25+D30+D35+D40+D45+D50+D55+D60+D65+D70+D75+D80+D85+D90+D95+D96+D97+D98+D99</f>
        <v>1743.0549999999998</v>
      </c>
      <c r="E100" s="124">
        <f>E5+E10+E15+E20+E25+E30+E35+E40+E45+E50+E55+E60+E65+E70+E75+E80+E85+E90+E95+E96+E97+E98+E99</f>
        <v>37676.938</v>
      </c>
      <c r="F100" s="51">
        <f>F5+F10+F15+F20+F25+F30+F35+F40+F45+F50+F55+F60+F65+F70+F75+F80+F85+F90+F95+F96+F97+F98+F99</f>
        <v>44102.495</v>
      </c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="60" zoomScaleNormal="60" zoomScalePageLayoutView="0" workbookViewId="0" topLeftCell="A56">
      <selection activeCell="H96" sqref="H96:I96"/>
    </sheetView>
  </sheetViews>
  <sheetFormatPr defaultColWidth="9.00390625" defaultRowHeight="12.75"/>
  <cols>
    <col min="1" max="1" width="56.25390625" style="0" customWidth="1"/>
    <col min="2" max="6" width="24.00390625" style="0" customWidth="1"/>
  </cols>
  <sheetData>
    <row r="1" spans="1:6" s="38" customFormat="1" ht="23.25">
      <c r="A1" s="162" t="s">
        <v>32</v>
      </c>
      <c r="B1" s="162"/>
      <c r="C1" s="162"/>
      <c r="D1" s="162"/>
      <c r="E1" s="162"/>
      <c r="F1" s="162"/>
    </row>
    <row r="2" spans="1:6" s="83" customFormat="1" ht="23.25">
      <c r="A2" s="163" t="s">
        <v>53</v>
      </c>
      <c r="B2" s="163"/>
      <c r="C2" s="163"/>
      <c r="D2" s="164"/>
      <c r="E2" s="164"/>
      <c r="F2" s="164"/>
    </row>
    <row r="3" spans="1:6" s="77" customFormat="1" ht="18.75" thickBot="1">
      <c r="A3" s="3"/>
      <c r="B3" s="3"/>
      <c r="C3" s="3"/>
      <c r="D3" s="3"/>
      <c r="E3" s="3"/>
      <c r="F3" s="73" t="s">
        <v>31</v>
      </c>
    </row>
    <row r="4" spans="1:8" s="85" customFormat="1" ht="29.25" customHeight="1" thickBot="1">
      <c r="A4" s="43" t="s">
        <v>38</v>
      </c>
      <c r="B4" s="69"/>
      <c r="C4" s="52" t="s">
        <v>0</v>
      </c>
      <c r="D4" s="52" t="s">
        <v>1</v>
      </c>
      <c r="E4" s="52" t="s">
        <v>2</v>
      </c>
      <c r="F4" s="53" t="s">
        <v>3</v>
      </c>
      <c r="G4" s="7"/>
      <c r="H4" s="84"/>
    </row>
    <row r="5" spans="1:6" s="2" customFormat="1" ht="57" customHeight="1">
      <c r="A5" s="108" t="s">
        <v>57</v>
      </c>
      <c r="B5" s="32">
        <f>C5+D5+E5+F5</f>
        <v>277148.29699999996</v>
      </c>
      <c r="C5" s="97">
        <f>C6+C7</f>
        <v>126354.083</v>
      </c>
      <c r="D5" s="97">
        <f>D6+D7</f>
        <v>3338.497</v>
      </c>
      <c r="E5" s="97">
        <f>E6+E7</f>
        <v>69013.737</v>
      </c>
      <c r="F5" s="98">
        <f>F6+F7</f>
        <v>78441.98</v>
      </c>
    </row>
    <row r="6" spans="1:6" s="2" customFormat="1" ht="27" customHeight="1">
      <c r="A6" s="109" t="s">
        <v>13</v>
      </c>
      <c r="B6" s="8">
        <f aca="true" t="shared" si="0" ref="B6:B39">C6+D6+E6+F6</f>
        <v>227862.60499999998</v>
      </c>
      <c r="C6" s="8">
        <f>'октябрь факт'!C6+'ноябрь факт'!C6+'декабрь факт '!C6</f>
        <v>126202.664</v>
      </c>
      <c r="D6" s="8">
        <f>'октябрь факт'!D6+'ноябрь факт'!D6+'декабрь факт '!D6</f>
        <v>3334.257</v>
      </c>
      <c r="E6" s="8">
        <f>'октябрь факт'!E6+'ноябрь факт'!E6+'декабрь факт '!E6</f>
        <v>66359.287</v>
      </c>
      <c r="F6" s="9">
        <f>'октябрь факт'!F6+'ноябрь факт'!F6+'декабрь факт '!F6</f>
        <v>31966.397</v>
      </c>
    </row>
    <row r="7" spans="1:6" s="2" customFormat="1" ht="20.25" customHeight="1">
      <c r="A7" s="109" t="s">
        <v>10</v>
      </c>
      <c r="B7" s="8">
        <f t="shared" si="0"/>
        <v>49285.691999999995</v>
      </c>
      <c r="C7" s="20">
        <f>C8+C9</f>
        <v>151.419</v>
      </c>
      <c r="D7" s="20">
        <f>D8+D9</f>
        <v>4.24</v>
      </c>
      <c r="E7" s="20">
        <f>E8+E9</f>
        <v>2654.45</v>
      </c>
      <c r="F7" s="21">
        <f>F8+F9</f>
        <v>46475.583</v>
      </c>
    </row>
    <row r="8" spans="1:6" s="2" customFormat="1" ht="21.75" customHeight="1">
      <c r="A8" s="109" t="s">
        <v>11</v>
      </c>
      <c r="B8" s="8">
        <f t="shared" si="0"/>
        <v>14822.151000000002</v>
      </c>
      <c r="C8" s="10">
        <f>'октябрь факт'!C8+'ноябрь факт'!C8+'декабрь факт '!C8</f>
        <v>72.643</v>
      </c>
      <c r="D8" s="10">
        <f>'октябрь факт'!D8+'ноябрь факт'!D8+'декабрь факт '!D8</f>
        <v>0</v>
      </c>
      <c r="E8" s="10">
        <f>'октябрь факт'!E8+'ноябрь факт'!E8+'декабрь факт '!E8</f>
        <v>661.054</v>
      </c>
      <c r="F8" s="17">
        <f>'октябрь факт'!F8+'ноябрь факт'!F8+'декабрь факт '!F8</f>
        <v>14088.454000000002</v>
      </c>
    </row>
    <row r="9" spans="1:6" s="2" customFormat="1" ht="24.75" customHeight="1">
      <c r="A9" s="109" t="s">
        <v>12</v>
      </c>
      <c r="B9" s="8">
        <f t="shared" si="0"/>
        <v>34463.541</v>
      </c>
      <c r="C9" s="10">
        <f>'октябрь факт'!C9+'ноябрь факт'!C9+'декабрь факт '!C9</f>
        <v>78.77600000000001</v>
      </c>
      <c r="D9" s="10">
        <f>'октябрь факт'!D9+'ноябрь факт'!D9+'декабрь факт '!D9</f>
        <v>4.24</v>
      </c>
      <c r="E9" s="10">
        <f>'октябрь факт'!E9+'ноябрь факт'!E9+'декабрь факт '!E9</f>
        <v>1993.396</v>
      </c>
      <c r="F9" s="17">
        <f>'октябрь факт'!F9+'ноябрь факт'!F9+'декабрь факт '!F9</f>
        <v>32387.129</v>
      </c>
    </row>
    <row r="10" spans="1:6" s="2" customFormat="1" ht="47.25" customHeight="1">
      <c r="A10" s="110" t="s">
        <v>58</v>
      </c>
      <c r="B10" s="8">
        <f t="shared" si="0"/>
        <v>19813.336000000003</v>
      </c>
      <c r="C10" s="20">
        <f>C11+C12</f>
        <v>3183.5600000000004</v>
      </c>
      <c r="D10" s="20">
        <f>D11+D12</f>
        <v>0</v>
      </c>
      <c r="E10" s="20">
        <f>E11+E12</f>
        <v>7149.9839999999995</v>
      </c>
      <c r="F10" s="21">
        <f>F11+F12</f>
        <v>9479.792000000001</v>
      </c>
    </row>
    <row r="11" spans="1:6" s="2" customFormat="1" ht="21.75" customHeight="1">
      <c r="A11" s="109" t="s">
        <v>13</v>
      </c>
      <c r="B11" s="8">
        <f t="shared" si="0"/>
        <v>12776.645</v>
      </c>
      <c r="C11" s="8">
        <f>'октябрь факт'!C11+'ноябрь факт'!C11+'декабрь факт '!C11</f>
        <v>2853.1980000000003</v>
      </c>
      <c r="D11" s="8">
        <f>'октябрь факт'!D11+'ноябрь факт'!D11+'декабрь факт '!D11</f>
        <v>0</v>
      </c>
      <c r="E11" s="8">
        <f>'октябрь факт'!E11+'ноябрь факт'!E11+'декабрь факт '!E11</f>
        <v>6006.1759999999995</v>
      </c>
      <c r="F11" s="9">
        <f>'октябрь факт'!F11+'ноябрь факт'!F11+'декабрь факт '!F11</f>
        <v>3917.271</v>
      </c>
    </row>
    <row r="12" spans="1:6" s="2" customFormat="1" ht="19.5" customHeight="1">
      <c r="A12" s="109" t="s">
        <v>10</v>
      </c>
      <c r="B12" s="8">
        <f t="shared" si="0"/>
        <v>7036.691000000001</v>
      </c>
      <c r="C12" s="20">
        <f>C13+C14</f>
        <v>330.36199999999997</v>
      </c>
      <c r="D12" s="20">
        <f>D13+D14</f>
        <v>0</v>
      </c>
      <c r="E12" s="20">
        <f>E13+E14</f>
        <v>1143.808</v>
      </c>
      <c r="F12" s="21">
        <f>F13+F14</f>
        <v>5562.521000000001</v>
      </c>
    </row>
    <row r="13" spans="1:6" s="2" customFormat="1" ht="17.25" customHeight="1">
      <c r="A13" s="109" t="s">
        <v>11</v>
      </c>
      <c r="B13" s="8">
        <f t="shared" si="0"/>
        <v>4002.616</v>
      </c>
      <c r="C13" s="10">
        <f>'октябрь факт'!C13+'ноябрь факт'!C13+'декабрь факт '!C13</f>
        <v>0</v>
      </c>
      <c r="D13" s="10">
        <f>'октябрь факт'!D13+'ноябрь факт'!D13+'декабрь факт '!D13</f>
        <v>0</v>
      </c>
      <c r="E13" s="10">
        <f>'октябрь факт'!E13+'ноябрь факт'!E13+'декабрь факт '!E13</f>
        <v>223.191</v>
      </c>
      <c r="F13" s="17">
        <f>'октябрь факт'!F13+'ноябрь факт'!F13+'декабрь факт '!F13</f>
        <v>3779.425</v>
      </c>
    </row>
    <row r="14" spans="1:6" s="2" customFormat="1" ht="17.25" customHeight="1">
      <c r="A14" s="109" t="s">
        <v>12</v>
      </c>
      <c r="B14" s="8">
        <f t="shared" si="0"/>
        <v>3034.075</v>
      </c>
      <c r="C14" s="10">
        <f>'октябрь факт'!C14+'ноябрь факт'!C14+'декабрь факт '!C14</f>
        <v>330.36199999999997</v>
      </c>
      <c r="D14" s="10">
        <f>'октябрь факт'!D14+'ноябрь факт'!D14+'декабрь факт '!D14</f>
        <v>0</v>
      </c>
      <c r="E14" s="10">
        <f>'октябрь факт'!E14+'ноябрь факт'!E14+'декабрь факт '!E14</f>
        <v>920.617</v>
      </c>
      <c r="F14" s="17">
        <f>'октябрь факт'!F14+'ноябрь факт'!F14+'декабрь факт '!F14</f>
        <v>1783.096</v>
      </c>
    </row>
    <row r="15" spans="1:6" s="2" customFormat="1" ht="35.25" customHeight="1">
      <c r="A15" s="110" t="s">
        <v>6</v>
      </c>
      <c r="B15" s="8">
        <f t="shared" si="0"/>
        <v>4122.889999999999</v>
      </c>
      <c r="C15" s="20">
        <f>C16+C17</f>
        <v>4122.889999999999</v>
      </c>
      <c r="D15" s="20">
        <f>D16+D17</f>
        <v>0</v>
      </c>
      <c r="E15" s="20">
        <f>E16+E17</f>
        <v>0</v>
      </c>
      <c r="F15" s="21">
        <f>F16+F17</f>
        <v>0</v>
      </c>
    </row>
    <row r="16" spans="1:6" s="2" customFormat="1" ht="19.5" customHeight="1">
      <c r="A16" s="109" t="s">
        <v>13</v>
      </c>
      <c r="B16" s="8">
        <f t="shared" si="0"/>
        <v>4120.901</v>
      </c>
      <c r="C16" s="8">
        <f>'октябрь факт'!C16+'ноябрь факт'!C16+'декабрь факт '!C16</f>
        <v>4120.901</v>
      </c>
      <c r="D16" s="8">
        <f>'октябрь факт'!D16+'ноябрь факт'!D16+'декабрь факт '!D16</f>
        <v>0</v>
      </c>
      <c r="E16" s="8">
        <f>'октябрь факт'!E16+'ноябрь факт'!E16+'декабрь факт '!E16</f>
        <v>0</v>
      </c>
      <c r="F16" s="9">
        <f>'октябрь факт'!F16+'ноябрь факт'!F16+'декабрь факт '!F16</f>
        <v>0</v>
      </c>
    </row>
    <row r="17" spans="1:6" s="2" customFormat="1" ht="18" customHeight="1">
      <c r="A17" s="109" t="s">
        <v>10</v>
      </c>
      <c r="B17" s="8">
        <f t="shared" si="0"/>
        <v>1.9889999999999999</v>
      </c>
      <c r="C17" s="20">
        <f>C18+C19</f>
        <v>1.9889999999999999</v>
      </c>
      <c r="D17" s="20">
        <f>D18+D19</f>
        <v>0</v>
      </c>
      <c r="E17" s="20">
        <f>E18+E19</f>
        <v>0</v>
      </c>
      <c r="F17" s="21">
        <f>F18+F19</f>
        <v>0</v>
      </c>
    </row>
    <row r="18" spans="1:6" s="2" customFormat="1" ht="19.5" customHeight="1">
      <c r="A18" s="109" t="s">
        <v>11</v>
      </c>
      <c r="B18" s="8">
        <f t="shared" si="0"/>
        <v>1.9889999999999999</v>
      </c>
      <c r="C18" s="10">
        <f>'октябрь факт'!C18+'ноябрь факт'!C18+'декабрь факт '!C18</f>
        <v>1.9889999999999999</v>
      </c>
      <c r="D18" s="10">
        <f>'октябрь факт'!D18+'ноябрь факт'!D18+'декабрь факт '!D18</f>
        <v>0</v>
      </c>
      <c r="E18" s="10">
        <f>'октябрь факт'!E18+'ноябрь факт'!E18+'декабрь факт '!E18</f>
        <v>0</v>
      </c>
      <c r="F18" s="17">
        <f>'октябрь факт'!F18+'ноябрь факт'!F18+'декабрь факт '!F18</f>
        <v>0</v>
      </c>
    </row>
    <row r="19" spans="1:6" s="2" customFormat="1" ht="19.5" customHeight="1">
      <c r="A19" s="109" t="s">
        <v>12</v>
      </c>
      <c r="B19" s="8">
        <f t="shared" si="0"/>
        <v>0</v>
      </c>
      <c r="C19" s="10">
        <f>'октябрь факт'!C19+'ноябрь факт'!C19+'декабрь факт '!C19</f>
        <v>0</v>
      </c>
      <c r="D19" s="10">
        <f>'октябрь факт'!D19+'ноябрь факт'!D19+'декабрь факт '!D19</f>
        <v>0</v>
      </c>
      <c r="E19" s="10">
        <f>'октябрь факт'!E19+'ноябрь факт'!E19+'декабрь факт '!E19</f>
        <v>0</v>
      </c>
      <c r="F19" s="17">
        <f>'октябрь факт'!F19+'ноябрь факт'!F19+'декабрь факт '!F19</f>
        <v>0</v>
      </c>
    </row>
    <row r="20" spans="1:6" s="2" customFormat="1" ht="51" customHeight="1">
      <c r="A20" s="110" t="s">
        <v>59</v>
      </c>
      <c r="B20" s="8">
        <f t="shared" si="0"/>
        <v>1995.904</v>
      </c>
      <c r="C20" s="20">
        <f>C21+C22</f>
        <v>42.587999999999994</v>
      </c>
      <c r="D20" s="20">
        <f>D21+D22</f>
        <v>1627.624</v>
      </c>
      <c r="E20" s="20">
        <f>E21+E22</f>
        <v>71.806</v>
      </c>
      <c r="F20" s="21">
        <f>F21+F22</f>
        <v>253.88600000000002</v>
      </c>
    </row>
    <row r="21" spans="1:6" s="2" customFormat="1" ht="21.75" customHeight="1">
      <c r="A21" s="109" t="s">
        <v>13</v>
      </c>
      <c r="B21" s="8">
        <f t="shared" si="0"/>
        <v>1938.544</v>
      </c>
      <c r="C21" s="8">
        <f>'октябрь факт'!C21+'ноябрь факт'!C21+'декабрь факт '!C21</f>
        <v>42.587999999999994</v>
      </c>
      <c r="D21" s="8">
        <f>'октябрь факт'!D21+'ноябрь факт'!D21+'декабрь факт '!D21</f>
        <v>1627.624</v>
      </c>
      <c r="E21" s="8">
        <f>'октябрь факт'!E21+'ноябрь факт'!E21+'декабрь факт '!E21</f>
        <v>71.806</v>
      </c>
      <c r="F21" s="9">
        <f>'октябрь факт'!F21+'ноябрь факт'!F21+'декабрь факт '!F21</f>
        <v>196.526</v>
      </c>
    </row>
    <row r="22" spans="1:6" s="2" customFormat="1" ht="21" customHeight="1">
      <c r="A22" s="109" t="s">
        <v>10</v>
      </c>
      <c r="B22" s="8">
        <f t="shared" si="0"/>
        <v>57.36</v>
      </c>
      <c r="C22" s="20">
        <f>C23+C24</f>
        <v>0</v>
      </c>
      <c r="D22" s="20">
        <f>D23+D24</f>
        <v>0</v>
      </c>
      <c r="E22" s="20">
        <f>E23+E24</f>
        <v>0</v>
      </c>
      <c r="F22" s="21">
        <f>F23+F24</f>
        <v>57.36</v>
      </c>
    </row>
    <row r="23" spans="1:6" s="2" customFormat="1" ht="21.75" customHeight="1">
      <c r="A23" s="109" t="s">
        <v>11</v>
      </c>
      <c r="B23" s="8">
        <f t="shared" si="0"/>
        <v>57.36</v>
      </c>
      <c r="C23" s="10">
        <f>'октябрь факт'!C23+'ноябрь факт'!C23+'декабрь факт '!C23</f>
        <v>0</v>
      </c>
      <c r="D23" s="10">
        <f>'октябрь факт'!D23+'ноябрь факт'!D23+'декабрь факт '!D23</f>
        <v>0</v>
      </c>
      <c r="E23" s="10">
        <f>'октябрь факт'!E23+'ноябрь факт'!E23+'декабрь факт '!E23</f>
        <v>0</v>
      </c>
      <c r="F23" s="17">
        <f>'октябрь факт'!F23+'ноябрь факт'!F23+'декабрь факт '!F23</f>
        <v>57.36</v>
      </c>
    </row>
    <row r="24" spans="1:6" s="2" customFormat="1" ht="21" customHeight="1">
      <c r="A24" s="109" t="s">
        <v>12</v>
      </c>
      <c r="B24" s="8">
        <f t="shared" si="0"/>
        <v>0</v>
      </c>
      <c r="C24" s="10">
        <f>'октябрь факт'!C24+'ноябрь факт'!C24+'декабрь факт '!C24</f>
        <v>0</v>
      </c>
      <c r="D24" s="10">
        <f>'октябрь факт'!D24+'ноябрь факт'!D24+'декабрь факт '!D24</f>
        <v>0</v>
      </c>
      <c r="E24" s="10">
        <f>'октябрь факт'!E24+'ноябрь факт'!E24+'декабрь факт '!E24</f>
        <v>0</v>
      </c>
      <c r="F24" s="17">
        <f>'октябрь факт'!F24+'ноябрь факт'!F24+'декабрь факт '!F24</f>
        <v>0</v>
      </c>
    </row>
    <row r="25" spans="1:6" s="2" customFormat="1" ht="41.25" customHeight="1">
      <c r="A25" s="110" t="s">
        <v>7</v>
      </c>
      <c r="B25" s="8">
        <f t="shared" si="0"/>
        <v>40129.023</v>
      </c>
      <c r="C25" s="20">
        <f>C26+C27</f>
        <v>21606.612999999998</v>
      </c>
      <c r="D25" s="20">
        <f>D26+D27</f>
        <v>0</v>
      </c>
      <c r="E25" s="20">
        <f>E26+E27</f>
        <v>6536.218</v>
      </c>
      <c r="F25" s="21">
        <f>F26+F27</f>
        <v>11986.192000000001</v>
      </c>
    </row>
    <row r="26" spans="1:6" s="2" customFormat="1" ht="19.5" customHeight="1">
      <c r="A26" s="109" t="s">
        <v>13</v>
      </c>
      <c r="B26" s="8">
        <f t="shared" si="0"/>
        <v>32217.157999999996</v>
      </c>
      <c r="C26" s="8">
        <f>'октябрь факт'!C26+'ноябрь факт'!C26+'декабрь факт '!C26</f>
        <v>21606.612999999998</v>
      </c>
      <c r="D26" s="8">
        <f>'октябрь факт'!D26+'ноябрь факт'!D26+'декабрь факт '!D26</f>
        <v>0</v>
      </c>
      <c r="E26" s="8">
        <f>'октябрь факт'!E26+'ноябрь факт'!E26+'декабрь факт '!E26</f>
        <v>6335.532</v>
      </c>
      <c r="F26" s="9">
        <f>'октябрь факт'!F26+'ноябрь факт'!F26+'декабрь факт '!F26</f>
        <v>4275.013000000001</v>
      </c>
    </row>
    <row r="27" spans="1:6" s="2" customFormat="1" ht="24.75" customHeight="1">
      <c r="A27" s="109" t="s">
        <v>10</v>
      </c>
      <c r="B27" s="8">
        <f t="shared" si="0"/>
        <v>7911.865</v>
      </c>
      <c r="C27" s="20">
        <f>C28+C29</f>
        <v>0</v>
      </c>
      <c r="D27" s="20">
        <f>D28+D29</f>
        <v>0</v>
      </c>
      <c r="E27" s="20">
        <f>E28+E29</f>
        <v>200.68600000000004</v>
      </c>
      <c r="F27" s="21">
        <f>F28+F29</f>
        <v>7711.179</v>
      </c>
    </row>
    <row r="28" spans="1:6" s="2" customFormat="1" ht="25.5" customHeight="1">
      <c r="A28" s="109" t="s">
        <v>11</v>
      </c>
      <c r="B28" s="8">
        <f t="shared" si="0"/>
        <v>7815.657999999999</v>
      </c>
      <c r="C28" s="10">
        <f>'октябрь факт'!C28+'ноябрь факт'!C28+'декабрь факт '!C28</f>
        <v>0</v>
      </c>
      <c r="D28" s="10">
        <f>'октябрь факт'!D28+'ноябрь факт'!D28+'декабрь факт '!D28</f>
        <v>0</v>
      </c>
      <c r="E28" s="10">
        <f>'октябрь факт'!E28+'ноябрь факт'!E28+'декабрь факт '!E28</f>
        <v>200.68600000000004</v>
      </c>
      <c r="F28" s="17">
        <f>'октябрь факт'!F28+'ноябрь факт'!F28+'декабрь факт '!F28</f>
        <v>7614.972</v>
      </c>
    </row>
    <row r="29" spans="1:6" s="2" customFormat="1" ht="20.25" customHeight="1">
      <c r="A29" s="109" t="s">
        <v>12</v>
      </c>
      <c r="B29" s="8">
        <f t="shared" si="0"/>
        <v>96.207</v>
      </c>
      <c r="C29" s="10">
        <f>'октябрь факт'!C29+'ноябрь факт'!C29+'декабрь факт '!C29</f>
        <v>0</v>
      </c>
      <c r="D29" s="10">
        <f>'октябрь факт'!D29+'ноябрь факт'!D29+'декабрь факт '!D29</f>
        <v>0</v>
      </c>
      <c r="E29" s="10">
        <f>'октябрь факт'!E29+'ноябрь факт'!E29+'декабрь факт '!E29</f>
        <v>0</v>
      </c>
      <c r="F29" s="17">
        <f>'октябрь факт'!F29+'ноябрь факт'!F29+'декабрь факт '!F29</f>
        <v>96.207</v>
      </c>
    </row>
    <row r="30" spans="1:6" s="2" customFormat="1" ht="50.25" customHeight="1">
      <c r="A30" s="110" t="s">
        <v>60</v>
      </c>
      <c r="B30" s="8">
        <f t="shared" si="0"/>
        <v>380.605</v>
      </c>
      <c r="C30" s="20">
        <f>C31+C32</f>
        <v>0</v>
      </c>
      <c r="D30" s="20">
        <f>D31+D32</f>
        <v>0</v>
      </c>
      <c r="E30" s="20">
        <f>E31+E32</f>
        <v>241.49</v>
      </c>
      <c r="F30" s="21">
        <f>F31+F32</f>
        <v>139.11499999999998</v>
      </c>
    </row>
    <row r="31" spans="1:6" s="2" customFormat="1" ht="22.5" customHeight="1">
      <c r="A31" s="109" t="s">
        <v>13</v>
      </c>
      <c r="B31" s="8">
        <f t="shared" si="0"/>
        <v>300.057</v>
      </c>
      <c r="C31" s="8">
        <f>'октябрь факт'!C31+'ноябрь факт'!C31+'декабрь факт '!C31</f>
        <v>0</v>
      </c>
      <c r="D31" s="8">
        <f>'октябрь факт'!D31+'ноябрь факт'!D31+'декабрь факт '!D31</f>
        <v>0</v>
      </c>
      <c r="E31" s="8">
        <f>'октябрь факт'!E31+'ноябрь факт'!E31+'декабрь факт '!E31</f>
        <v>241.49</v>
      </c>
      <c r="F31" s="9">
        <f>'октябрь факт'!F31+'ноябрь факт'!F31+'декабрь факт '!F31</f>
        <v>58.567</v>
      </c>
    </row>
    <row r="32" spans="1:6" s="2" customFormat="1" ht="24.75" customHeight="1">
      <c r="A32" s="109" t="s">
        <v>10</v>
      </c>
      <c r="B32" s="8">
        <f t="shared" si="0"/>
        <v>80.54799999999999</v>
      </c>
      <c r="C32" s="20">
        <f>C33+C34</f>
        <v>0</v>
      </c>
      <c r="D32" s="20">
        <f>D33+D34</f>
        <v>0</v>
      </c>
      <c r="E32" s="20">
        <f>E33+E34</f>
        <v>0</v>
      </c>
      <c r="F32" s="21">
        <f>F33+F34</f>
        <v>80.54799999999999</v>
      </c>
    </row>
    <row r="33" spans="1:6" s="2" customFormat="1" ht="18" customHeight="1">
      <c r="A33" s="109" t="s">
        <v>11</v>
      </c>
      <c r="B33" s="8">
        <f t="shared" si="0"/>
        <v>65.54899999999999</v>
      </c>
      <c r="C33" s="10">
        <f>'октябрь факт'!C33+'ноябрь факт'!C33+'декабрь факт '!C33</f>
        <v>0</v>
      </c>
      <c r="D33" s="10">
        <f>'октябрь факт'!D33+'ноябрь факт'!D33+'декабрь факт '!D33</f>
        <v>0</v>
      </c>
      <c r="E33" s="10">
        <f>'октябрь факт'!E33+'ноябрь факт'!E33+'декабрь факт '!E33</f>
        <v>0</v>
      </c>
      <c r="F33" s="17">
        <f>'октябрь факт'!F33+'ноябрь факт'!F33+'декабрь факт '!F33</f>
        <v>65.54899999999999</v>
      </c>
    </row>
    <row r="34" spans="1:6" s="2" customFormat="1" ht="18" customHeight="1">
      <c r="A34" s="109" t="s">
        <v>12</v>
      </c>
      <c r="B34" s="8">
        <f t="shared" si="0"/>
        <v>14.999</v>
      </c>
      <c r="C34" s="10">
        <f>'октябрь факт'!C34+'ноябрь факт'!C34+'декабрь факт '!C34</f>
        <v>0</v>
      </c>
      <c r="D34" s="10">
        <f>'октябрь факт'!D34+'ноябрь факт'!D34+'декабрь факт '!D34</f>
        <v>0</v>
      </c>
      <c r="E34" s="10">
        <f>'октябрь факт'!E34+'ноябрь факт'!E34+'декабрь факт '!E34</f>
        <v>0</v>
      </c>
      <c r="F34" s="17">
        <f>'октябрь факт'!F34+'ноябрь факт'!F34+'декабрь факт '!F34</f>
        <v>14.999</v>
      </c>
    </row>
    <row r="35" spans="1:6" s="2" customFormat="1" ht="25.5" customHeight="1">
      <c r="A35" s="49" t="s">
        <v>61</v>
      </c>
      <c r="B35" s="8">
        <f t="shared" si="0"/>
        <v>526.489</v>
      </c>
      <c r="C35" s="20">
        <f>C36+C37</f>
        <v>0</v>
      </c>
      <c r="D35" s="20">
        <f>D36+D37</f>
        <v>0</v>
      </c>
      <c r="E35" s="20">
        <f>E36+E37</f>
        <v>0</v>
      </c>
      <c r="F35" s="21">
        <f>F36+F37</f>
        <v>526.489</v>
      </c>
    </row>
    <row r="36" spans="1:6" s="2" customFormat="1" ht="23.25" customHeight="1">
      <c r="A36" s="109" t="s">
        <v>13</v>
      </c>
      <c r="B36" s="8">
        <f t="shared" si="0"/>
        <v>484.88</v>
      </c>
      <c r="C36" s="8">
        <f>'октябрь факт'!C36+'ноябрь факт'!C36+'декабрь факт '!C36</f>
        <v>0</v>
      </c>
      <c r="D36" s="8">
        <f>'октябрь факт'!D36+'ноябрь факт'!D36+'декабрь факт '!D36</f>
        <v>0</v>
      </c>
      <c r="E36" s="8">
        <f>'октябрь факт'!E36+'ноябрь факт'!E36+'декабрь факт '!E36</f>
        <v>0</v>
      </c>
      <c r="F36" s="9">
        <f>'октябрь факт'!F36+'ноябрь факт'!F36+'декабрь факт '!F36</f>
        <v>484.88</v>
      </c>
    </row>
    <row r="37" spans="1:6" s="2" customFormat="1" ht="23.25" customHeight="1">
      <c r="A37" s="109" t="s">
        <v>10</v>
      </c>
      <c r="B37" s="8">
        <f t="shared" si="0"/>
        <v>41.609</v>
      </c>
      <c r="C37" s="20">
        <f>C38+C39</f>
        <v>0</v>
      </c>
      <c r="D37" s="20">
        <f>D38+D39</f>
        <v>0</v>
      </c>
      <c r="E37" s="20">
        <f>E38+E39</f>
        <v>0</v>
      </c>
      <c r="F37" s="21">
        <f>F38+F39</f>
        <v>41.609</v>
      </c>
    </row>
    <row r="38" spans="1:6" s="2" customFormat="1" ht="23.25" customHeight="1">
      <c r="A38" s="109" t="s">
        <v>11</v>
      </c>
      <c r="B38" s="8">
        <f t="shared" si="0"/>
        <v>0</v>
      </c>
      <c r="C38" s="10">
        <f>'октябрь факт'!C38+'ноябрь факт'!C38+'декабрь факт '!C38</f>
        <v>0</v>
      </c>
      <c r="D38" s="10">
        <f>'октябрь факт'!D38+'ноябрь факт'!D38+'декабрь факт '!D38</f>
        <v>0</v>
      </c>
      <c r="E38" s="10">
        <f>'октябрь факт'!E38+'ноябрь факт'!E38+'декабрь факт '!E38</f>
        <v>0</v>
      </c>
      <c r="F38" s="17">
        <f>'октябрь факт'!F38+'ноябрь факт'!F38+'декабрь факт '!F38</f>
        <v>0</v>
      </c>
    </row>
    <row r="39" spans="1:6" s="2" customFormat="1" ht="23.25" customHeight="1" thickBot="1">
      <c r="A39" s="109" t="s">
        <v>12</v>
      </c>
      <c r="B39" s="8">
        <f t="shared" si="0"/>
        <v>41.609</v>
      </c>
      <c r="C39" s="10">
        <f>'октябрь факт'!C39+'ноябрь факт'!C39+'декабрь факт '!C39</f>
        <v>0</v>
      </c>
      <c r="D39" s="10">
        <f>'октябрь факт'!D39+'ноябрь факт'!D39+'декабрь факт '!D39</f>
        <v>0</v>
      </c>
      <c r="E39" s="10">
        <f>'октябрь факт'!E39+'ноябрь факт'!E39+'декабрь факт '!E39</f>
        <v>0</v>
      </c>
      <c r="F39" s="17">
        <f>'октябрь факт'!F39+'ноябрь факт'!F39+'декабрь факт '!F39</f>
        <v>41.609</v>
      </c>
    </row>
    <row r="40" spans="1:6" s="2" customFormat="1" ht="42" customHeight="1">
      <c r="A40" s="110" t="s">
        <v>26</v>
      </c>
      <c r="B40" s="32">
        <f>C40+D40+E40+F40</f>
        <v>298.03000000000003</v>
      </c>
      <c r="C40" s="20">
        <f>C41+C42</f>
        <v>126.94200000000001</v>
      </c>
      <c r="D40" s="20">
        <f>D41+D42</f>
        <v>0</v>
      </c>
      <c r="E40" s="20">
        <f>E41+E42</f>
        <v>171.08800000000002</v>
      </c>
      <c r="F40" s="21">
        <f>F41+F42</f>
        <v>0</v>
      </c>
    </row>
    <row r="41" spans="1:6" s="2" customFormat="1" ht="19.5" customHeight="1">
      <c r="A41" s="109" t="s">
        <v>13</v>
      </c>
      <c r="B41" s="8">
        <f aca="true" t="shared" si="1" ref="B41:B100">C41+D41+E41+F41</f>
        <v>298.03000000000003</v>
      </c>
      <c r="C41" s="8">
        <f>'октябрь факт'!C41+'ноябрь факт'!C41+'декабрь факт '!C41</f>
        <v>126.94200000000001</v>
      </c>
      <c r="D41" s="8">
        <f>'октябрь факт'!D41+'ноябрь факт'!D41+'декабрь факт '!D41</f>
        <v>0</v>
      </c>
      <c r="E41" s="8">
        <f>'октябрь факт'!E41+'ноябрь факт'!E41+'декабрь факт '!E41</f>
        <v>171.08800000000002</v>
      </c>
      <c r="F41" s="9">
        <f>'октябрь факт'!F41+'ноябрь факт'!F41+'декабрь факт '!F41</f>
        <v>0</v>
      </c>
    </row>
    <row r="42" spans="1:6" s="2" customFormat="1" ht="19.5" customHeight="1">
      <c r="A42" s="109" t="s">
        <v>10</v>
      </c>
      <c r="B42" s="8">
        <f t="shared" si="1"/>
        <v>0</v>
      </c>
      <c r="C42" s="20">
        <f>C43+C44</f>
        <v>0</v>
      </c>
      <c r="D42" s="20">
        <f>D43+D44</f>
        <v>0</v>
      </c>
      <c r="E42" s="20">
        <f>E43+E44</f>
        <v>0</v>
      </c>
      <c r="F42" s="21">
        <f>F43+F44</f>
        <v>0</v>
      </c>
    </row>
    <row r="43" spans="1:6" s="2" customFormat="1" ht="19.5" customHeight="1">
      <c r="A43" s="109" t="s">
        <v>11</v>
      </c>
      <c r="B43" s="8">
        <f t="shared" si="1"/>
        <v>0</v>
      </c>
      <c r="C43" s="10">
        <f>'октябрь факт'!C43+'ноябрь факт'!C43+'декабрь факт '!C43</f>
        <v>0</v>
      </c>
      <c r="D43" s="10">
        <f>'октябрь факт'!D43+'ноябрь факт'!D43+'декабрь факт '!D43</f>
        <v>0</v>
      </c>
      <c r="E43" s="10">
        <f>'октябрь факт'!E43+'ноябрь факт'!E43+'декабрь факт '!E43</f>
        <v>0</v>
      </c>
      <c r="F43" s="17">
        <f>'октябрь факт'!F43+'ноябрь факт'!F43+'декабрь факт '!F43</f>
        <v>0</v>
      </c>
    </row>
    <row r="44" spans="1:6" s="2" customFormat="1" ht="19.5" customHeight="1">
      <c r="A44" s="109" t="s">
        <v>12</v>
      </c>
      <c r="B44" s="8">
        <f t="shared" si="1"/>
        <v>0</v>
      </c>
      <c r="C44" s="10">
        <f>'октябрь факт'!C44+'ноябрь факт'!C44+'декабрь факт '!C44</f>
        <v>0</v>
      </c>
      <c r="D44" s="10">
        <f>'октябрь факт'!D44+'ноябрь факт'!D44+'декабрь факт '!D44</f>
        <v>0</v>
      </c>
      <c r="E44" s="10">
        <f>'октябрь факт'!E44+'ноябрь факт'!E44+'декабрь факт '!E44</f>
        <v>0</v>
      </c>
      <c r="F44" s="17">
        <f>'октябрь факт'!F44+'ноябрь факт'!F44+'декабрь факт '!F44</f>
        <v>0</v>
      </c>
    </row>
    <row r="45" spans="1:6" s="2" customFormat="1" ht="24.75" customHeight="1">
      <c r="A45" s="111" t="s">
        <v>29</v>
      </c>
      <c r="B45" s="8">
        <f t="shared" si="1"/>
        <v>1290.649</v>
      </c>
      <c r="C45" s="20">
        <f>C46+C47</f>
        <v>0</v>
      </c>
      <c r="D45" s="20">
        <f>D46+D47</f>
        <v>0</v>
      </c>
      <c r="E45" s="20">
        <f>E46+E47</f>
        <v>1035.827</v>
      </c>
      <c r="F45" s="21">
        <f>F46+F47</f>
        <v>254.822</v>
      </c>
    </row>
    <row r="46" spans="1:6" s="2" customFormat="1" ht="24.75" customHeight="1">
      <c r="A46" s="109" t="s">
        <v>13</v>
      </c>
      <c r="B46" s="8">
        <f t="shared" si="1"/>
        <v>1290.649</v>
      </c>
      <c r="C46" s="8">
        <f>'октябрь факт'!C46+'ноябрь факт'!C46+'декабрь факт '!C46</f>
        <v>0</v>
      </c>
      <c r="D46" s="8">
        <f>'октябрь факт'!D46+'ноябрь факт'!D46+'декабрь факт '!D46</f>
        <v>0</v>
      </c>
      <c r="E46" s="8">
        <f>'октябрь факт'!E46+'ноябрь факт'!E46+'декабрь факт '!E46</f>
        <v>1035.827</v>
      </c>
      <c r="F46" s="9">
        <f>'октябрь факт'!F46+'ноябрь факт'!F46+'декабрь факт '!F46</f>
        <v>254.822</v>
      </c>
    </row>
    <row r="47" spans="1:6" s="2" customFormat="1" ht="24.75" customHeight="1">
      <c r="A47" s="109" t="s">
        <v>10</v>
      </c>
      <c r="B47" s="8">
        <f t="shared" si="1"/>
        <v>0</v>
      </c>
      <c r="C47" s="20">
        <f>C48+C49</f>
        <v>0</v>
      </c>
      <c r="D47" s="20">
        <f>D48+D49</f>
        <v>0</v>
      </c>
      <c r="E47" s="20">
        <f>E48+E49</f>
        <v>0</v>
      </c>
      <c r="F47" s="21">
        <f>F48+F49</f>
        <v>0</v>
      </c>
    </row>
    <row r="48" spans="1:6" s="2" customFormat="1" ht="24.75" customHeight="1">
      <c r="A48" s="109" t="s">
        <v>11</v>
      </c>
      <c r="B48" s="8">
        <f t="shared" si="1"/>
        <v>0</v>
      </c>
      <c r="C48" s="10">
        <f>'октябрь факт'!C48+'ноябрь факт'!C48+'декабрь факт '!C48</f>
        <v>0</v>
      </c>
      <c r="D48" s="10">
        <f>'октябрь факт'!D48+'ноябрь факт'!D48+'декабрь факт '!D48</f>
        <v>0</v>
      </c>
      <c r="E48" s="10">
        <f>'октябрь факт'!E48+'ноябрь факт'!E48+'декабрь факт '!E48</f>
        <v>0</v>
      </c>
      <c r="F48" s="17">
        <f>'октябрь факт'!F48+'ноябрь факт'!F48+'декабрь факт '!F48</f>
        <v>0</v>
      </c>
    </row>
    <row r="49" spans="1:6" s="2" customFormat="1" ht="24.75" customHeight="1">
      <c r="A49" s="109" t="s">
        <v>12</v>
      </c>
      <c r="B49" s="8">
        <f t="shared" si="1"/>
        <v>0</v>
      </c>
      <c r="C49" s="10">
        <f>'октябрь факт'!C49+'ноябрь факт'!C49+'декабрь факт '!C49</f>
        <v>0</v>
      </c>
      <c r="D49" s="10">
        <f>'октябрь факт'!D49+'ноябрь факт'!D49+'декабрь факт '!D49</f>
        <v>0</v>
      </c>
      <c r="E49" s="10">
        <f>'октябрь факт'!E49+'ноябрь факт'!E49+'декабрь факт '!E49</f>
        <v>0</v>
      </c>
      <c r="F49" s="17">
        <f>'октябрь факт'!F49+'ноябрь факт'!F49+'декабрь факт '!F49</f>
        <v>0</v>
      </c>
    </row>
    <row r="50" spans="1:6" s="2" customFormat="1" ht="24.75" customHeight="1">
      <c r="A50" s="111" t="s">
        <v>4</v>
      </c>
      <c r="B50" s="8">
        <f t="shared" si="1"/>
        <v>2820.79</v>
      </c>
      <c r="C50" s="20">
        <f>C51+C52</f>
        <v>2820.79</v>
      </c>
      <c r="D50" s="20">
        <f>D51+D52</f>
        <v>0</v>
      </c>
      <c r="E50" s="20">
        <f>E51+E52</f>
        <v>0</v>
      </c>
      <c r="F50" s="21">
        <f>F51+F52</f>
        <v>0</v>
      </c>
    </row>
    <row r="51" spans="1:6" s="2" customFormat="1" ht="24.75" customHeight="1">
      <c r="A51" s="109" t="s">
        <v>13</v>
      </c>
      <c r="B51" s="8">
        <f t="shared" si="1"/>
        <v>2820.79</v>
      </c>
      <c r="C51" s="8">
        <f>'октябрь факт'!C51+'ноябрь факт'!C51+'декабрь факт '!C51</f>
        <v>2820.79</v>
      </c>
      <c r="D51" s="8">
        <f>'октябрь факт'!D51+'ноябрь факт'!D51+'декабрь факт '!D51</f>
        <v>0</v>
      </c>
      <c r="E51" s="8">
        <f>'октябрь факт'!E51+'ноябрь факт'!E51+'декабрь факт '!E51</f>
        <v>0</v>
      </c>
      <c r="F51" s="9">
        <f>'октябрь факт'!F51+'ноябрь факт'!F51+'декабрь факт '!F51</f>
        <v>0</v>
      </c>
    </row>
    <row r="52" spans="1:6" s="2" customFormat="1" ht="24.75" customHeight="1">
      <c r="A52" s="109" t="s">
        <v>10</v>
      </c>
      <c r="B52" s="8">
        <f t="shared" si="1"/>
        <v>0</v>
      </c>
      <c r="C52" s="20">
        <f>C53+C54</f>
        <v>0</v>
      </c>
      <c r="D52" s="20">
        <f>D53+D54</f>
        <v>0</v>
      </c>
      <c r="E52" s="20">
        <f>E53+E54</f>
        <v>0</v>
      </c>
      <c r="F52" s="21">
        <f>F53+F54</f>
        <v>0</v>
      </c>
    </row>
    <row r="53" spans="1:6" s="2" customFormat="1" ht="24.75" customHeight="1">
      <c r="A53" s="109" t="s">
        <v>11</v>
      </c>
      <c r="B53" s="8">
        <f t="shared" si="1"/>
        <v>0</v>
      </c>
      <c r="C53" s="10">
        <f>'октябрь факт'!C53+'ноябрь факт'!C53+'декабрь факт '!C53</f>
        <v>0</v>
      </c>
      <c r="D53" s="10">
        <f>'октябрь факт'!D53+'ноябрь факт'!D53+'декабрь факт '!D53</f>
        <v>0</v>
      </c>
      <c r="E53" s="10">
        <f>'октябрь факт'!E53+'ноябрь факт'!E53+'декабрь факт '!E53</f>
        <v>0</v>
      </c>
      <c r="F53" s="17">
        <f>'октябрь факт'!F53+'ноябрь факт'!F53+'декабрь факт '!F53</f>
        <v>0</v>
      </c>
    </row>
    <row r="54" spans="1:6" s="2" customFormat="1" ht="24.75" customHeight="1">
      <c r="A54" s="109" t="s">
        <v>12</v>
      </c>
      <c r="B54" s="8">
        <f t="shared" si="1"/>
        <v>0</v>
      </c>
      <c r="C54" s="10">
        <f>'октябрь факт'!C54+'ноябрь факт'!C54+'декабрь факт '!C54</f>
        <v>0</v>
      </c>
      <c r="D54" s="10">
        <f>'октябрь факт'!D54+'ноябрь факт'!D54+'декабрь факт '!D54</f>
        <v>0</v>
      </c>
      <c r="E54" s="10">
        <f>'октябрь факт'!E54+'ноябрь факт'!E54+'декабрь факт '!E54</f>
        <v>0</v>
      </c>
      <c r="F54" s="17">
        <f>'октябрь факт'!F54+'ноябрь факт'!F54+'декабрь факт '!F54</f>
        <v>0</v>
      </c>
    </row>
    <row r="55" spans="1:6" s="2" customFormat="1" ht="50.25" customHeight="1">
      <c r="A55" s="110" t="s">
        <v>62</v>
      </c>
      <c r="B55" s="8">
        <f t="shared" si="1"/>
        <v>2729.712</v>
      </c>
      <c r="C55" s="20">
        <f>C56+C57</f>
        <v>0</v>
      </c>
      <c r="D55" s="20">
        <f>D56+D57</f>
        <v>0</v>
      </c>
      <c r="E55" s="20">
        <f>E56+E57</f>
        <v>1248.225</v>
      </c>
      <c r="F55" s="21">
        <f>F56+F57</f>
        <v>1481.487</v>
      </c>
    </row>
    <row r="56" spans="1:6" s="2" customFormat="1" ht="26.25" customHeight="1">
      <c r="A56" s="109" t="s">
        <v>13</v>
      </c>
      <c r="B56" s="8">
        <f t="shared" si="1"/>
        <v>1660.8149999999998</v>
      </c>
      <c r="C56" s="8">
        <f>'октябрь факт'!C56+'ноябрь факт'!C56+'декабрь факт '!C56</f>
        <v>0</v>
      </c>
      <c r="D56" s="8">
        <f>'октябрь факт'!D56+'ноябрь факт'!D56+'декабрь факт '!D56</f>
        <v>0</v>
      </c>
      <c r="E56" s="8">
        <f>'октябрь факт'!E56+'ноябрь факт'!E56+'декабрь факт '!E56</f>
        <v>1248.225</v>
      </c>
      <c r="F56" s="9">
        <f>'октябрь факт'!F56+'ноябрь факт'!F56+'декабрь факт '!F56</f>
        <v>412.59</v>
      </c>
    </row>
    <row r="57" spans="1:6" s="2" customFormat="1" ht="26.25" customHeight="1">
      <c r="A57" s="109" t="s">
        <v>10</v>
      </c>
      <c r="B57" s="8">
        <f t="shared" si="1"/>
        <v>1068.8970000000002</v>
      </c>
      <c r="C57" s="20">
        <f>C58+C59</f>
        <v>0</v>
      </c>
      <c r="D57" s="20">
        <f>D58+D59</f>
        <v>0</v>
      </c>
      <c r="E57" s="20">
        <f>E58+E59</f>
        <v>0</v>
      </c>
      <c r="F57" s="21">
        <f>F58+F59</f>
        <v>1068.8970000000002</v>
      </c>
    </row>
    <row r="58" spans="1:6" s="2" customFormat="1" ht="26.25" customHeight="1">
      <c r="A58" s="109" t="s">
        <v>11</v>
      </c>
      <c r="B58" s="8">
        <f t="shared" si="1"/>
        <v>932.0740000000001</v>
      </c>
      <c r="C58" s="10">
        <f>'октябрь факт'!C58+'ноябрь факт'!C58+'декабрь факт '!C58</f>
        <v>0</v>
      </c>
      <c r="D58" s="10">
        <f>'октябрь факт'!D58+'ноябрь факт'!D58+'декабрь факт '!D58</f>
        <v>0</v>
      </c>
      <c r="E58" s="10">
        <f>'октябрь факт'!E58+'ноябрь факт'!E58+'декабрь факт '!E58</f>
        <v>0</v>
      </c>
      <c r="F58" s="17">
        <f>'октябрь факт'!F58+'ноябрь факт'!F58+'декабрь факт '!F58</f>
        <v>932.0740000000001</v>
      </c>
    </row>
    <row r="59" spans="1:6" s="2" customFormat="1" ht="26.25" customHeight="1">
      <c r="A59" s="109" t="s">
        <v>12</v>
      </c>
      <c r="B59" s="8">
        <f t="shared" si="1"/>
        <v>136.823</v>
      </c>
      <c r="C59" s="10">
        <f>'октябрь факт'!C59+'ноябрь факт'!C59+'декабрь факт '!C59</f>
        <v>0</v>
      </c>
      <c r="D59" s="10">
        <f>'октябрь факт'!D59+'ноябрь факт'!D59+'декабрь факт '!D59</f>
        <v>0</v>
      </c>
      <c r="E59" s="10">
        <f>'октябрь факт'!E59+'ноябрь факт'!E59+'декабрь факт '!E59</f>
        <v>0</v>
      </c>
      <c r="F59" s="17">
        <f>'октябрь факт'!F59+'ноябрь факт'!F59+'декабрь факт '!F59</f>
        <v>136.823</v>
      </c>
    </row>
    <row r="60" spans="1:6" s="2" customFormat="1" ht="24.75" customHeight="1">
      <c r="A60" s="110" t="s">
        <v>28</v>
      </c>
      <c r="B60" s="8">
        <f t="shared" si="1"/>
        <v>6962.659</v>
      </c>
      <c r="C60" s="20">
        <f>C61+C62</f>
        <v>6919.459</v>
      </c>
      <c r="D60" s="20">
        <f>D61+D62</f>
        <v>0</v>
      </c>
      <c r="E60" s="20">
        <f>E61+E62</f>
        <v>0</v>
      </c>
      <c r="F60" s="21">
        <f>F61+F62</f>
        <v>43.2</v>
      </c>
    </row>
    <row r="61" spans="1:6" s="2" customFormat="1" ht="21.75" customHeight="1">
      <c r="A61" s="109" t="s">
        <v>13</v>
      </c>
      <c r="B61" s="8">
        <f t="shared" si="1"/>
        <v>6962.659</v>
      </c>
      <c r="C61" s="8">
        <f>'октябрь факт'!C61+'ноябрь факт'!C61+'декабрь факт '!C61</f>
        <v>6919.459</v>
      </c>
      <c r="D61" s="8">
        <f>'октябрь факт'!D61+'ноябрь факт'!D61+'декабрь факт '!D61</f>
        <v>0</v>
      </c>
      <c r="E61" s="8">
        <f>'октябрь факт'!E61+'ноябрь факт'!E61+'декабрь факт '!E61</f>
        <v>0</v>
      </c>
      <c r="F61" s="9">
        <f>'октябрь факт'!F61+'ноябрь факт'!F61+'декабрь факт '!F61</f>
        <v>43.2</v>
      </c>
    </row>
    <row r="62" spans="1:6" s="2" customFormat="1" ht="16.5" customHeight="1">
      <c r="A62" s="109" t="s">
        <v>10</v>
      </c>
      <c r="B62" s="8">
        <f t="shared" si="1"/>
        <v>0</v>
      </c>
      <c r="C62" s="20">
        <f>C63+C64</f>
        <v>0</v>
      </c>
      <c r="D62" s="20">
        <f>D63+D64</f>
        <v>0</v>
      </c>
      <c r="E62" s="20">
        <f>E63+E64</f>
        <v>0</v>
      </c>
      <c r="F62" s="21">
        <f>F63+F64</f>
        <v>0</v>
      </c>
    </row>
    <row r="63" spans="1:6" s="2" customFormat="1" ht="18" customHeight="1">
      <c r="A63" s="109" t="s">
        <v>11</v>
      </c>
      <c r="B63" s="8">
        <f t="shared" si="1"/>
        <v>0</v>
      </c>
      <c r="C63" s="10">
        <f>'октябрь факт'!C63+'ноябрь факт'!C63+'декабрь факт '!C63</f>
        <v>0</v>
      </c>
      <c r="D63" s="10">
        <f>'октябрь факт'!D63+'ноябрь факт'!D63+'декабрь факт '!D63</f>
        <v>0</v>
      </c>
      <c r="E63" s="10">
        <f>'октябрь факт'!E63+'ноябрь факт'!E63+'декабрь факт '!E63</f>
        <v>0</v>
      </c>
      <c r="F63" s="17">
        <f>'октябрь факт'!F63+'ноябрь факт'!F63+'декабрь факт '!F63</f>
        <v>0</v>
      </c>
    </row>
    <row r="64" spans="1:6" s="2" customFormat="1" ht="18" customHeight="1">
      <c r="A64" s="109" t="s">
        <v>12</v>
      </c>
      <c r="B64" s="8">
        <f t="shared" si="1"/>
        <v>0</v>
      </c>
      <c r="C64" s="10">
        <f>'октябрь факт'!C64+'ноябрь факт'!C64+'декабрь факт '!C64</f>
        <v>0</v>
      </c>
      <c r="D64" s="10">
        <f>'октябрь факт'!D64+'ноябрь факт'!D64+'декабрь факт '!D64</f>
        <v>0</v>
      </c>
      <c r="E64" s="10">
        <f>'октябрь факт'!E64+'ноябрь факт'!E64+'декабрь факт '!E64</f>
        <v>0</v>
      </c>
      <c r="F64" s="17">
        <f>'октябрь факт'!F64+'ноябрь факт'!F64+'декабрь факт '!F64</f>
        <v>0</v>
      </c>
    </row>
    <row r="65" spans="1:6" s="2" customFormat="1" ht="24.75" customHeight="1">
      <c r="A65" s="110" t="s">
        <v>63</v>
      </c>
      <c r="B65" s="8">
        <f t="shared" si="1"/>
        <v>0</v>
      </c>
      <c r="C65" s="20">
        <f>C66+C67</f>
        <v>0</v>
      </c>
      <c r="D65" s="20">
        <f>D66+D67</f>
        <v>0</v>
      </c>
      <c r="E65" s="20">
        <f>E66+E67</f>
        <v>0</v>
      </c>
      <c r="F65" s="21">
        <f>F66+F67</f>
        <v>0</v>
      </c>
    </row>
    <row r="66" spans="1:6" s="2" customFormat="1" ht="21.75" customHeight="1">
      <c r="A66" s="109" t="s">
        <v>13</v>
      </c>
      <c r="B66" s="8">
        <f t="shared" si="1"/>
        <v>0</v>
      </c>
      <c r="C66" s="8">
        <f>'октябрь факт'!C66+'ноябрь факт'!C66+'декабрь факт '!C66</f>
        <v>0</v>
      </c>
      <c r="D66" s="8">
        <f>'октябрь факт'!D66+'ноябрь факт'!D66+'декабрь факт '!D66</f>
        <v>0</v>
      </c>
      <c r="E66" s="8">
        <f>'октябрь факт'!E66+'ноябрь факт'!E66+'декабрь факт '!E66</f>
        <v>0</v>
      </c>
      <c r="F66" s="9">
        <f>'октябрь факт'!F66+'ноябрь факт'!F66+'декабрь факт '!F66</f>
        <v>0</v>
      </c>
    </row>
    <row r="67" spans="1:6" s="2" customFormat="1" ht="18" customHeight="1">
      <c r="A67" s="109" t="s">
        <v>10</v>
      </c>
      <c r="B67" s="8">
        <f t="shared" si="1"/>
        <v>0</v>
      </c>
      <c r="C67" s="20">
        <f>C68+C69</f>
        <v>0</v>
      </c>
      <c r="D67" s="20">
        <f>D68+D69</f>
        <v>0</v>
      </c>
      <c r="E67" s="20">
        <f>E68+E69</f>
        <v>0</v>
      </c>
      <c r="F67" s="21">
        <f>F68+F69</f>
        <v>0</v>
      </c>
    </row>
    <row r="68" spans="1:6" s="2" customFormat="1" ht="19.5" customHeight="1">
      <c r="A68" s="109" t="s">
        <v>11</v>
      </c>
      <c r="B68" s="8">
        <f t="shared" si="1"/>
        <v>0</v>
      </c>
      <c r="C68" s="10">
        <f>'октябрь факт'!C68+'ноябрь факт'!C68+'декабрь факт '!C68</f>
        <v>0</v>
      </c>
      <c r="D68" s="10">
        <f>'октябрь факт'!D68+'ноябрь факт'!D68+'декабрь факт '!D68</f>
        <v>0</v>
      </c>
      <c r="E68" s="10">
        <f>'октябрь факт'!E68+'ноябрь факт'!E68+'декабрь факт '!E68</f>
        <v>0</v>
      </c>
      <c r="F68" s="17">
        <f>'октябрь факт'!F68+'ноябрь факт'!F68+'декабрь факт '!F68</f>
        <v>0</v>
      </c>
    </row>
    <row r="69" spans="1:6" s="2" customFormat="1" ht="19.5" customHeight="1">
      <c r="A69" s="109" t="s">
        <v>12</v>
      </c>
      <c r="B69" s="8">
        <f t="shared" si="1"/>
        <v>0</v>
      </c>
      <c r="C69" s="10">
        <f>'октябрь факт'!C69+'ноябрь факт'!C69+'декабрь факт '!C69</f>
        <v>0</v>
      </c>
      <c r="D69" s="10">
        <f>'октябрь факт'!D69+'ноябрь факт'!D69+'декабрь факт '!D69</f>
        <v>0</v>
      </c>
      <c r="E69" s="10">
        <f>'октябрь факт'!E69+'ноябрь факт'!E69+'декабрь факт '!E69</f>
        <v>0</v>
      </c>
      <c r="F69" s="17">
        <f>'октябрь факт'!F69+'ноябрь факт'!F69+'декабрь факт '!F69</f>
        <v>0</v>
      </c>
    </row>
    <row r="70" spans="1:6" s="6" customFormat="1" ht="36.75" customHeight="1">
      <c r="A70" s="110" t="s">
        <v>25</v>
      </c>
      <c r="B70" s="8">
        <f t="shared" si="1"/>
        <v>267.023</v>
      </c>
      <c r="C70" s="20">
        <f>C71+C72</f>
        <v>0</v>
      </c>
      <c r="D70" s="20">
        <f>D71+D72</f>
        <v>0</v>
      </c>
      <c r="E70" s="20">
        <f>E71+E72</f>
        <v>0</v>
      </c>
      <c r="F70" s="21">
        <f>F71+F72</f>
        <v>267.023</v>
      </c>
    </row>
    <row r="71" spans="1:6" s="3" customFormat="1" ht="18.75">
      <c r="A71" s="109" t="s">
        <v>13</v>
      </c>
      <c r="B71" s="8">
        <f t="shared" si="1"/>
        <v>49.781</v>
      </c>
      <c r="C71" s="8">
        <f>'октябрь факт'!C71+'ноябрь факт'!C71+'декабрь факт '!C71</f>
        <v>0</v>
      </c>
      <c r="D71" s="8">
        <f>'октябрь факт'!D71+'ноябрь факт'!D71+'декабрь факт '!D71</f>
        <v>0</v>
      </c>
      <c r="E71" s="8">
        <f>'октябрь факт'!E71+'ноябрь факт'!E71+'декабрь факт '!E71</f>
        <v>0</v>
      </c>
      <c r="F71" s="9">
        <f>'октябрь факт'!F71+'ноябрь факт'!F71+'декабрь факт '!F71</f>
        <v>49.781</v>
      </c>
    </row>
    <row r="72" spans="1:6" s="3" customFormat="1" ht="18.75">
      <c r="A72" s="109" t="s">
        <v>10</v>
      </c>
      <c r="B72" s="8">
        <f t="shared" si="1"/>
        <v>217.24200000000002</v>
      </c>
      <c r="C72" s="20">
        <f>C73+C74</f>
        <v>0</v>
      </c>
      <c r="D72" s="20">
        <f>D73+D74</f>
        <v>0</v>
      </c>
      <c r="E72" s="20">
        <f>E73+E74</f>
        <v>0</v>
      </c>
      <c r="F72" s="21">
        <f>F73+F74</f>
        <v>217.24200000000002</v>
      </c>
    </row>
    <row r="73" spans="1:6" s="38" customFormat="1" ht="23.25" customHeight="1">
      <c r="A73" s="109" t="s">
        <v>11</v>
      </c>
      <c r="B73" s="8">
        <f t="shared" si="1"/>
        <v>217.24200000000002</v>
      </c>
      <c r="C73" s="10">
        <f>'октябрь факт'!C73+'ноябрь факт'!C73+'декабрь факт '!C73</f>
        <v>0</v>
      </c>
      <c r="D73" s="10">
        <f>'октябрь факт'!D73+'ноябрь факт'!D73+'декабрь факт '!D73</f>
        <v>0</v>
      </c>
      <c r="E73" s="10">
        <f>'октябрь факт'!E73+'ноябрь факт'!E73+'декабрь факт '!E73</f>
        <v>0</v>
      </c>
      <c r="F73" s="17">
        <f>'октябрь факт'!F73+'ноябрь факт'!F73+'декабрь факт '!F73</f>
        <v>217.24200000000002</v>
      </c>
    </row>
    <row r="74" spans="1:6" s="38" customFormat="1" ht="23.25" customHeight="1">
      <c r="A74" s="109" t="s">
        <v>12</v>
      </c>
      <c r="B74" s="8">
        <f t="shared" si="1"/>
        <v>0</v>
      </c>
      <c r="C74" s="10">
        <f>'октябрь факт'!C74+'ноябрь факт'!C74+'декабрь факт '!C74</f>
        <v>0</v>
      </c>
      <c r="D74" s="10">
        <f>'октябрь факт'!D74+'ноябрь факт'!D74+'декабрь факт '!D74</f>
        <v>0</v>
      </c>
      <c r="E74" s="10">
        <f>'октябрь факт'!E74+'ноябрь факт'!E74+'декабрь факт '!E74</f>
        <v>0</v>
      </c>
      <c r="F74" s="17">
        <f>'октябрь факт'!F74+'ноябрь факт'!F74+'декабрь факт '!F74</f>
        <v>0</v>
      </c>
    </row>
    <row r="75" spans="1:6" s="38" customFormat="1" ht="43.5" customHeight="1">
      <c r="A75" s="110" t="s">
        <v>64</v>
      </c>
      <c r="B75" s="8">
        <f t="shared" si="1"/>
        <v>784.239</v>
      </c>
      <c r="C75" s="20">
        <f>C76+C77</f>
        <v>0</v>
      </c>
      <c r="D75" s="20">
        <f>D76+D77</f>
        <v>0</v>
      </c>
      <c r="E75" s="20">
        <f>E76+E77</f>
        <v>59.626000000000005</v>
      </c>
      <c r="F75" s="21">
        <f>F76+F77</f>
        <v>724.613</v>
      </c>
    </row>
    <row r="76" spans="1:6" s="38" customFormat="1" ht="23.25" customHeight="1">
      <c r="A76" s="109" t="s">
        <v>13</v>
      </c>
      <c r="B76" s="8">
        <f t="shared" si="1"/>
        <v>212.126</v>
      </c>
      <c r="C76" s="8">
        <f>'октябрь факт'!C76+'ноябрь факт'!C76+'декабрь факт '!C76</f>
        <v>0</v>
      </c>
      <c r="D76" s="8">
        <f>'октябрь факт'!D76+'ноябрь факт'!D76+'декабрь факт '!D76</f>
        <v>0</v>
      </c>
      <c r="E76" s="8">
        <f>'октябрь факт'!E76+'ноябрь факт'!E76+'декабрь факт '!E76</f>
        <v>59.626000000000005</v>
      </c>
      <c r="F76" s="9">
        <f>'октябрь факт'!F76+'ноябрь факт'!F76+'декабрь факт '!F76</f>
        <v>152.5</v>
      </c>
    </row>
    <row r="77" spans="1:6" s="38" customFormat="1" ht="23.25" customHeight="1">
      <c r="A77" s="109" t="s">
        <v>10</v>
      </c>
      <c r="B77" s="8">
        <f t="shared" si="1"/>
        <v>572.113</v>
      </c>
      <c r="C77" s="20">
        <f>C78+C79</f>
        <v>0</v>
      </c>
      <c r="D77" s="20">
        <f>D78+D79</f>
        <v>0</v>
      </c>
      <c r="E77" s="20">
        <f>E78+E79</f>
        <v>0</v>
      </c>
      <c r="F77" s="21">
        <f>F78+F79</f>
        <v>572.113</v>
      </c>
    </row>
    <row r="78" spans="1:6" s="38" customFormat="1" ht="23.25" customHeight="1">
      <c r="A78" s="109" t="s">
        <v>11</v>
      </c>
      <c r="B78" s="8">
        <f t="shared" si="1"/>
        <v>0</v>
      </c>
      <c r="C78" s="10">
        <f>'октябрь факт'!C78+'ноябрь факт'!C78+'декабрь факт '!C78</f>
        <v>0</v>
      </c>
      <c r="D78" s="10">
        <f>'октябрь факт'!D78+'ноябрь факт'!D78+'декабрь факт '!D78</f>
        <v>0</v>
      </c>
      <c r="E78" s="10">
        <f>'октябрь факт'!E78+'ноябрь факт'!E78+'декабрь факт '!E78</f>
        <v>0</v>
      </c>
      <c r="F78" s="17">
        <f>'октябрь факт'!F78+'ноябрь факт'!F78+'декабрь факт '!F78</f>
        <v>0</v>
      </c>
    </row>
    <row r="79" spans="1:6" s="38" customFormat="1" ht="23.25" customHeight="1">
      <c r="A79" s="109" t="s">
        <v>12</v>
      </c>
      <c r="B79" s="8">
        <f t="shared" si="1"/>
        <v>572.113</v>
      </c>
      <c r="C79" s="10">
        <f>'октябрь факт'!C79+'ноябрь факт'!C79+'декабрь факт '!C79</f>
        <v>0</v>
      </c>
      <c r="D79" s="10">
        <f>'октябрь факт'!D79+'ноябрь факт'!D79+'декабрь факт '!D79</f>
        <v>0</v>
      </c>
      <c r="E79" s="10">
        <f>'октябрь факт'!E79+'ноябрь факт'!E79+'декабрь факт '!E79</f>
        <v>0</v>
      </c>
      <c r="F79" s="17">
        <f>'октябрь факт'!F79+'ноябрь факт'!F79+'декабрь факт '!F79</f>
        <v>572.113</v>
      </c>
    </row>
    <row r="80" spans="1:6" s="38" customFormat="1" ht="23.25" customHeight="1">
      <c r="A80" s="110" t="s">
        <v>8</v>
      </c>
      <c r="B80" s="8">
        <f t="shared" si="1"/>
        <v>4994.205</v>
      </c>
      <c r="C80" s="20">
        <f>C81+C82</f>
        <v>0</v>
      </c>
      <c r="D80" s="20">
        <f>D81+D82</f>
        <v>0</v>
      </c>
      <c r="E80" s="20">
        <f>E81+E82</f>
        <v>2938.184</v>
      </c>
      <c r="F80" s="21">
        <f>F81+F82</f>
        <v>2056.0209999999997</v>
      </c>
    </row>
    <row r="81" spans="1:6" s="38" customFormat="1" ht="25.5" customHeight="1">
      <c r="A81" s="109" t="s">
        <v>13</v>
      </c>
      <c r="B81" s="8">
        <f t="shared" si="1"/>
        <v>3051.495</v>
      </c>
      <c r="C81" s="8">
        <f>'октябрь факт'!C81+'ноябрь факт'!C81+'декабрь факт '!C81</f>
        <v>0</v>
      </c>
      <c r="D81" s="8">
        <f>'октябрь факт'!D81+'ноябрь факт'!D81+'декабрь факт '!D81</f>
        <v>0</v>
      </c>
      <c r="E81" s="8">
        <f>'октябрь факт'!E81+'ноябрь факт'!E81+'декабрь факт '!E81</f>
        <v>2429.273</v>
      </c>
      <c r="F81" s="9">
        <f>'октябрь факт'!F81+'ноябрь факт'!F81+'декабрь факт '!F81</f>
        <v>622.222</v>
      </c>
    </row>
    <row r="82" spans="1:6" s="38" customFormat="1" ht="25.5" customHeight="1">
      <c r="A82" s="109" t="s">
        <v>10</v>
      </c>
      <c r="B82" s="8">
        <f t="shared" si="1"/>
        <v>1942.71</v>
      </c>
      <c r="C82" s="20">
        <f>C83+C84</f>
        <v>0</v>
      </c>
      <c r="D82" s="20">
        <f>D83+D84</f>
        <v>0</v>
      </c>
      <c r="E82" s="20">
        <f>E83+E84</f>
        <v>508.911</v>
      </c>
      <c r="F82" s="21">
        <f>F83+F84</f>
        <v>1433.799</v>
      </c>
    </row>
    <row r="83" spans="1:6" s="3" customFormat="1" ht="18.75">
      <c r="A83" s="109" t="s">
        <v>11</v>
      </c>
      <c r="B83" s="8">
        <f t="shared" si="1"/>
        <v>1623.7930000000001</v>
      </c>
      <c r="C83" s="10">
        <f>'октябрь факт'!C83+'ноябрь факт'!C83+'декабрь факт '!C83</f>
        <v>0</v>
      </c>
      <c r="D83" s="10">
        <f>'октябрь факт'!D83+'ноябрь факт'!D83+'декабрь факт '!D83</f>
        <v>0</v>
      </c>
      <c r="E83" s="10">
        <f>'октябрь факт'!E83+'ноябрь факт'!E83+'декабрь факт '!E83</f>
        <v>502.783</v>
      </c>
      <c r="F83" s="17">
        <f>'октябрь факт'!F83+'ноябрь факт'!F83+'декабрь факт '!F83</f>
        <v>1121.01</v>
      </c>
    </row>
    <row r="84" spans="1:6" s="3" customFormat="1" ht="18.75">
      <c r="A84" s="109" t="s">
        <v>12</v>
      </c>
      <c r="B84" s="8">
        <f t="shared" si="1"/>
        <v>318.917</v>
      </c>
      <c r="C84" s="10">
        <f>'октябрь факт'!C84+'ноябрь факт'!C84+'декабрь факт '!C84</f>
        <v>0</v>
      </c>
      <c r="D84" s="10">
        <f>'октябрь факт'!D84+'ноябрь факт'!D84+'декабрь факт '!D84</f>
        <v>0</v>
      </c>
      <c r="E84" s="10">
        <f>'октябрь факт'!E84+'ноябрь факт'!E84+'декабрь факт '!E84</f>
        <v>6.128</v>
      </c>
      <c r="F84" s="17">
        <f>'октябрь факт'!F84+'ноябрь факт'!F84+'декабрь факт '!F84</f>
        <v>312.789</v>
      </c>
    </row>
    <row r="85" spans="1:6" s="3" customFormat="1" ht="18">
      <c r="A85" s="110" t="s">
        <v>5</v>
      </c>
      <c r="B85" s="8">
        <f t="shared" si="1"/>
        <v>10594.757</v>
      </c>
      <c r="C85" s="20">
        <f>C86+C87</f>
        <v>1211.948</v>
      </c>
      <c r="D85" s="20">
        <f>D86+D87</f>
        <v>0</v>
      </c>
      <c r="E85" s="20">
        <f>E86+E87</f>
        <v>6046.022999999999</v>
      </c>
      <c r="F85" s="21">
        <f>F86+F87</f>
        <v>3336.786</v>
      </c>
    </row>
    <row r="86" spans="1:6" s="3" customFormat="1" ht="18.75">
      <c r="A86" s="109" t="s">
        <v>13</v>
      </c>
      <c r="B86" s="8">
        <f t="shared" si="1"/>
        <v>6892.599</v>
      </c>
      <c r="C86" s="8">
        <f>'октябрь факт'!C86+'ноябрь факт'!C86+'декабрь факт '!C86</f>
        <v>1211.948</v>
      </c>
      <c r="D86" s="8">
        <f>'октябрь факт'!D86+'ноябрь факт'!D86+'декабрь факт '!D86</f>
        <v>0</v>
      </c>
      <c r="E86" s="8">
        <f>'октябрь факт'!E86+'ноябрь факт'!E86+'декабрь факт '!E86</f>
        <v>4508.378</v>
      </c>
      <c r="F86" s="9">
        <f>'октябрь факт'!F86+'ноябрь факт'!F86+'декабрь факт '!F86</f>
        <v>1172.2730000000001</v>
      </c>
    </row>
    <row r="87" spans="1:6" s="3" customFormat="1" ht="18.75">
      <c r="A87" s="109" t="s">
        <v>10</v>
      </c>
      <c r="B87" s="8">
        <f t="shared" si="1"/>
        <v>3702.158</v>
      </c>
      <c r="C87" s="20">
        <f>C88+C89</f>
        <v>0</v>
      </c>
      <c r="D87" s="20">
        <f>D88+D89</f>
        <v>0</v>
      </c>
      <c r="E87" s="20">
        <f>E88+E89</f>
        <v>1537.645</v>
      </c>
      <c r="F87" s="21">
        <f>F88+F89</f>
        <v>2164.513</v>
      </c>
    </row>
    <row r="88" spans="1:6" s="3" customFormat="1" ht="18.75">
      <c r="A88" s="109" t="s">
        <v>11</v>
      </c>
      <c r="B88" s="8">
        <f t="shared" si="1"/>
        <v>3666.8779999999997</v>
      </c>
      <c r="C88" s="10">
        <f>'октябрь факт'!C88+'ноябрь факт'!C88+'декабрь факт '!C88</f>
        <v>0</v>
      </c>
      <c r="D88" s="10">
        <f>'октябрь факт'!D88+'ноябрь факт'!D88+'декабрь факт '!D88</f>
        <v>0</v>
      </c>
      <c r="E88" s="10">
        <f>'октябрь факт'!E88+'ноябрь факт'!E88+'декабрь факт '!E88</f>
        <v>1502.365</v>
      </c>
      <c r="F88" s="17">
        <f>'октябрь факт'!F88+'ноябрь факт'!F88+'декабрь факт '!F88</f>
        <v>2164.513</v>
      </c>
    </row>
    <row r="89" spans="1:6" s="3" customFormat="1" ht="18.75">
      <c r="A89" s="109" t="s">
        <v>12</v>
      </c>
      <c r="B89" s="8">
        <f t="shared" si="1"/>
        <v>35.28</v>
      </c>
      <c r="C89" s="10">
        <f>'октябрь факт'!C89+'ноябрь факт'!C89+'декабрь факт '!C89</f>
        <v>0</v>
      </c>
      <c r="D89" s="10">
        <f>'октябрь факт'!D89+'ноябрь факт'!D89+'декабрь факт '!D89</f>
        <v>0</v>
      </c>
      <c r="E89" s="10">
        <f>'октябрь факт'!E89+'ноябрь факт'!E89+'декабрь факт '!E89</f>
        <v>35.28</v>
      </c>
      <c r="F89" s="17">
        <f>'октябрь факт'!F89+'ноябрь факт'!F89+'декабрь факт '!F89</f>
        <v>0</v>
      </c>
    </row>
    <row r="90" spans="1:6" s="3" customFormat="1" ht="36">
      <c r="A90" s="110" t="s">
        <v>65</v>
      </c>
      <c r="B90" s="8">
        <f t="shared" si="1"/>
        <v>19224.305</v>
      </c>
      <c r="C90" s="20">
        <f>C91+C92</f>
        <v>0</v>
      </c>
      <c r="D90" s="20">
        <f>D91+D92</f>
        <v>0</v>
      </c>
      <c r="E90" s="20">
        <f>E91+E92</f>
        <v>4516.687</v>
      </c>
      <c r="F90" s="21">
        <f>F91+F92</f>
        <v>14707.617999999999</v>
      </c>
    </row>
    <row r="91" spans="1:6" s="3" customFormat="1" ht="18.75">
      <c r="A91" s="109" t="s">
        <v>13</v>
      </c>
      <c r="B91" s="8">
        <f t="shared" si="1"/>
        <v>9683.607</v>
      </c>
      <c r="C91" s="8">
        <f>'октябрь факт'!C91+'ноябрь факт'!C91+'декабрь факт '!C91</f>
        <v>0</v>
      </c>
      <c r="D91" s="8">
        <f>'октябрь факт'!D91+'ноябрь факт'!D91+'декабрь факт '!D91</f>
        <v>0</v>
      </c>
      <c r="E91" s="8">
        <f>'октябрь факт'!E91+'ноябрь факт'!E91+'декабрь факт '!E91</f>
        <v>4374.647</v>
      </c>
      <c r="F91" s="9">
        <f>'октябрь факт'!F91+'ноябрь факт'!F91+'декабрь факт '!F91</f>
        <v>5308.96</v>
      </c>
    </row>
    <row r="92" spans="1:6" s="3" customFormat="1" ht="18.75">
      <c r="A92" s="109" t="s">
        <v>10</v>
      </c>
      <c r="B92" s="8">
        <f t="shared" si="1"/>
        <v>9540.698</v>
      </c>
      <c r="C92" s="20">
        <f>C93+C94</f>
        <v>0</v>
      </c>
      <c r="D92" s="20">
        <f>D93+D94</f>
        <v>0</v>
      </c>
      <c r="E92" s="20">
        <f>E93+E94</f>
        <v>142.04000000000002</v>
      </c>
      <c r="F92" s="21">
        <f>F93+F94</f>
        <v>9398.658</v>
      </c>
    </row>
    <row r="93" spans="1:6" s="3" customFormat="1" ht="18.75">
      <c r="A93" s="109" t="s">
        <v>11</v>
      </c>
      <c r="B93" s="8">
        <f t="shared" si="1"/>
        <v>2162.236</v>
      </c>
      <c r="C93" s="10">
        <f>'октябрь факт'!C93+'ноябрь факт'!C93+'декабрь факт '!C93</f>
        <v>0</v>
      </c>
      <c r="D93" s="10">
        <f>'октябрь факт'!D93+'ноябрь факт'!D93+'декабрь факт '!D93</f>
        <v>0</v>
      </c>
      <c r="E93" s="10">
        <f>'октябрь факт'!E93+'ноябрь факт'!E93+'декабрь факт '!E93</f>
        <v>60.902</v>
      </c>
      <c r="F93" s="17">
        <f>'октябрь факт'!F93+'ноябрь факт'!F93+'декабрь факт '!F93</f>
        <v>2101.334</v>
      </c>
    </row>
    <row r="94" spans="1:6" s="3" customFormat="1" ht="19.5" thickBot="1">
      <c r="A94" s="116" t="s">
        <v>12</v>
      </c>
      <c r="B94" s="14">
        <f t="shared" si="1"/>
        <v>7378.4619999999995</v>
      </c>
      <c r="C94" s="101">
        <f>'октябрь факт'!C94+'ноябрь факт'!C94+'декабрь факт '!C94</f>
        <v>0</v>
      </c>
      <c r="D94" s="101">
        <f>'октябрь факт'!D94+'ноябрь факт'!D94+'декабрь факт '!D94</f>
        <v>0</v>
      </c>
      <c r="E94" s="101">
        <f>'октябрь факт'!E94+'ноябрь факт'!E94+'декабрь факт '!E94</f>
        <v>81.138</v>
      </c>
      <c r="F94" s="102">
        <f>'октябрь факт'!F94+'ноябрь факт'!F94+'декабрь факт '!F94</f>
        <v>7297.324</v>
      </c>
    </row>
    <row r="95" spans="1:6" s="3" customFormat="1" ht="18">
      <c r="A95" s="54" t="s">
        <v>21</v>
      </c>
      <c r="B95" s="55">
        <f t="shared" si="1"/>
        <v>1625.5949999999998</v>
      </c>
      <c r="C95" s="32">
        <f>'октябрь факт'!C95+'ноябрь факт'!C95+'декабрь факт '!C95</f>
        <v>0</v>
      </c>
      <c r="D95" s="32">
        <f>'октябрь факт'!D95+'ноябрь факт'!D95+'декабрь факт '!D95</f>
        <v>0</v>
      </c>
      <c r="E95" s="32">
        <f>'октябрь факт'!E95+'ноябрь факт'!E95+'декабрь факт '!E95</f>
        <v>1625.5949999999998</v>
      </c>
      <c r="F95" s="33">
        <f>'октябрь факт'!F95+'ноябрь факт'!F95+'декабрь факт '!F95</f>
        <v>0</v>
      </c>
    </row>
    <row r="96" spans="1:6" s="3" customFormat="1" ht="18">
      <c r="A96" s="31" t="s">
        <v>22</v>
      </c>
      <c r="B96" s="5">
        <f t="shared" si="1"/>
        <v>319.72799999999995</v>
      </c>
      <c r="C96" s="8">
        <f>'октябрь факт'!C96+'ноябрь факт'!C96+'декабрь факт '!C96</f>
        <v>0</v>
      </c>
      <c r="D96" s="8">
        <f>'октябрь факт'!D96+'ноябрь факт'!D96+'декабрь факт '!D96</f>
        <v>0</v>
      </c>
      <c r="E96" s="8">
        <f>'октябрь факт'!E96+'ноябрь факт'!E96+'декабрь факт '!E96</f>
        <v>319.72799999999995</v>
      </c>
      <c r="F96" s="9">
        <f>'октябрь факт'!F96+'ноябрь факт'!F96+'декабрь факт '!F96</f>
        <v>0</v>
      </c>
    </row>
    <row r="97" spans="1:6" s="3" customFormat="1" ht="18">
      <c r="A97" s="31" t="s">
        <v>27</v>
      </c>
      <c r="B97" s="5">
        <f t="shared" si="1"/>
        <v>2339.666</v>
      </c>
      <c r="C97" s="8">
        <f>'октябрь факт'!C97+'ноябрь факт'!C97+'декабрь факт '!C97</f>
        <v>0</v>
      </c>
      <c r="D97" s="8">
        <f>'октябрь факт'!D97+'ноябрь факт'!D97+'декабрь факт '!D97</f>
        <v>0</v>
      </c>
      <c r="E97" s="8">
        <f>'октябрь факт'!E97+'ноябрь факт'!E97+'декабрь факт '!E97</f>
        <v>2049.96</v>
      </c>
      <c r="F97" s="9">
        <f>'октябрь факт'!F97+'ноябрь факт'!F97+'декабрь факт '!F97</f>
        <v>289.706</v>
      </c>
    </row>
    <row r="98" spans="1:6" s="3" customFormat="1" ht="18">
      <c r="A98" s="31" t="s">
        <v>23</v>
      </c>
      <c r="B98" s="5">
        <f t="shared" si="1"/>
        <v>2839.0299999999997</v>
      </c>
      <c r="C98" s="8">
        <f>'октябрь факт'!C98+'ноябрь факт'!C98+'декабрь факт '!C98</f>
        <v>2197.89</v>
      </c>
      <c r="D98" s="8">
        <f>'октябрь факт'!D98+'ноябрь факт'!D98+'декабрь факт '!D98</f>
        <v>0</v>
      </c>
      <c r="E98" s="8">
        <f>'октябрь факт'!E98+'ноябрь факт'!E98+'декабрь факт '!E98</f>
        <v>438.352</v>
      </c>
      <c r="F98" s="9">
        <f>'октябрь факт'!F98+'ноябрь факт'!F98+'декабрь факт '!F98</f>
        <v>202.78799999999998</v>
      </c>
    </row>
    <row r="99" spans="1:6" s="3" customFormat="1" ht="25.5" customHeight="1" thickBot="1">
      <c r="A99" s="120" t="s">
        <v>24</v>
      </c>
      <c r="B99" s="5">
        <f t="shared" si="1"/>
        <v>1779.8670000000002</v>
      </c>
      <c r="C99" s="8">
        <f>'октябрь факт'!C99+'ноябрь факт'!C99+'декабрь факт '!C99</f>
        <v>0</v>
      </c>
      <c r="D99" s="8">
        <f>'октябрь факт'!D99+'ноябрь факт'!D99+'декабрь факт '!D99</f>
        <v>0</v>
      </c>
      <c r="E99" s="8">
        <f>'октябрь факт'!E99+'ноябрь факт'!E99+'декабрь факт '!E99</f>
        <v>1779.8670000000002</v>
      </c>
      <c r="F99" s="9">
        <f>'октябрь факт'!F99+'ноябрь факт'!F99+'декабрь факт '!F99</f>
        <v>0</v>
      </c>
    </row>
    <row r="100" spans="1:6" s="3" customFormat="1" ht="18.75" thickBot="1">
      <c r="A100" s="30" t="s">
        <v>66</v>
      </c>
      <c r="B100" s="50">
        <f t="shared" si="1"/>
        <v>402986.79900000006</v>
      </c>
      <c r="C100" s="124">
        <f>C5+C10+C15+C20+C25+C30+C35+C40+C45+C50+C55+C60+C65+C70+C75+C80+C85+C90+C95+C96+C97+C98+C99</f>
        <v>168586.76300000004</v>
      </c>
      <c r="D100" s="124">
        <f>D5+D10+D15+D20+D25+D30+D35+D40+D45+D50+D55+D60+D65+D70+D75+D80+D85+D90+D95+D96+D97+D98+D99</f>
        <v>4966.121</v>
      </c>
      <c r="E100" s="124">
        <f>E5+E10+E15+E20+E25+E30+E35+E40+E45+E50+E55+E60+E65+E70+E75+E80+E85+E90+E95+E96+E97+E98+E99</f>
        <v>105242.39700000001</v>
      </c>
      <c r="F100" s="51">
        <f>F5+F10+F15+F20+F25+F30+F35+F40+F45+F50+F55+F60+F65+F70+F75+F80+F85+F90+F95+F96+F97+F98+F99</f>
        <v>124191.518</v>
      </c>
    </row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="60" zoomScaleNormal="60" zoomScalePageLayoutView="0" workbookViewId="0" topLeftCell="A1">
      <selection activeCell="L11" sqref="L11"/>
    </sheetView>
  </sheetViews>
  <sheetFormatPr defaultColWidth="9.00390625" defaultRowHeight="12.75"/>
  <cols>
    <col min="1" max="1" width="56.25390625" style="0" customWidth="1"/>
    <col min="2" max="6" width="24.00390625" style="0" customWidth="1"/>
  </cols>
  <sheetData>
    <row r="1" spans="1:6" s="38" customFormat="1" ht="23.25">
      <c r="A1" s="162" t="s">
        <v>32</v>
      </c>
      <c r="B1" s="162"/>
      <c r="C1" s="162"/>
      <c r="D1" s="162"/>
      <c r="E1" s="162"/>
      <c r="F1" s="162"/>
    </row>
    <row r="2" spans="1:6" s="83" customFormat="1" ht="23.25">
      <c r="A2" s="163" t="s">
        <v>69</v>
      </c>
      <c r="B2" s="163"/>
      <c r="C2" s="163"/>
      <c r="D2" s="164"/>
      <c r="E2" s="164"/>
      <c r="F2" s="164"/>
    </row>
    <row r="3" spans="1:6" s="77" customFormat="1" ht="18.75" thickBot="1">
      <c r="A3" s="3"/>
      <c r="B3" s="3"/>
      <c r="C3" s="3"/>
      <c r="D3" s="3"/>
      <c r="E3" s="3"/>
      <c r="F3" s="73" t="s">
        <v>31</v>
      </c>
    </row>
    <row r="4" spans="1:8" s="85" customFormat="1" ht="29.25" customHeight="1" thickBot="1">
      <c r="A4" s="43" t="s">
        <v>70</v>
      </c>
      <c r="B4" s="69"/>
      <c r="C4" s="52" t="s">
        <v>0</v>
      </c>
      <c r="D4" s="52" t="s">
        <v>1</v>
      </c>
      <c r="E4" s="52" t="s">
        <v>2</v>
      </c>
      <c r="F4" s="53" t="s">
        <v>3</v>
      </c>
      <c r="G4" s="7"/>
      <c r="H4" s="84"/>
    </row>
    <row r="5" spans="1:6" s="2" customFormat="1" ht="57" customHeight="1">
      <c r="A5" s="74" t="s">
        <v>57</v>
      </c>
      <c r="B5" s="55">
        <f aca="true" t="shared" si="0" ref="B5:B36">C5+D5+E5+F5</f>
        <v>506337.1904000001</v>
      </c>
      <c r="C5" s="97">
        <f>C6+C7</f>
        <v>230314.19100000002</v>
      </c>
      <c r="D5" s="97">
        <f>D6+D7</f>
        <v>7338.957</v>
      </c>
      <c r="E5" s="97">
        <f>E6+E7</f>
        <v>123504.5124</v>
      </c>
      <c r="F5" s="98">
        <f>F6+F7</f>
        <v>145179.53</v>
      </c>
    </row>
    <row r="6" spans="1:6" s="2" customFormat="1" ht="27" customHeight="1">
      <c r="A6" s="18" t="s">
        <v>13</v>
      </c>
      <c r="B6" s="5">
        <f t="shared" si="0"/>
        <v>411498.9</v>
      </c>
      <c r="C6" s="8">
        <f>июль!C6+'август факт'!C6+'сентябрь факт'!C6+'октябрь факт'!C6+'ноябрь факт'!C6+'декабрь факт '!C6</f>
        <v>230074.47600000002</v>
      </c>
      <c r="D6" s="8">
        <f>июль!D6+'август факт'!D6+'сентябрь факт'!D6+'октябрь факт'!D6+'ноябрь факт'!D6+'декабрь факт '!D6</f>
        <v>7331.487</v>
      </c>
      <c r="E6" s="8">
        <f>июль!E6+'август факт'!E6+'сентябрь факт'!E6+'октябрь факт'!E6+'ноябрь факт'!E6+'декабрь факт '!E6</f>
        <v>118457.111</v>
      </c>
      <c r="F6" s="9">
        <f>июль!F6+'август факт'!F6+'сентябрь факт'!F6+'октябрь факт'!F6+'ноябрь факт'!F6+'декабрь факт '!F6</f>
        <v>55635.826</v>
      </c>
    </row>
    <row r="7" spans="1:6" s="2" customFormat="1" ht="20.25" customHeight="1">
      <c r="A7" s="18" t="s">
        <v>10</v>
      </c>
      <c r="B7" s="5">
        <f t="shared" si="0"/>
        <v>94838.2904</v>
      </c>
      <c r="C7" s="20">
        <f>C8+C9</f>
        <v>239.71500000000003</v>
      </c>
      <c r="D7" s="20">
        <f>D8+D9</f>
        <v>7.470000000000001</v>
      </c>
      <c r="E7" s="20">
        <f>E8+E9</f>
        <v>5047.4014</v>
      </c>
      <c r="F7" s="21">
        <f>F8+F9</f>
        <v>89543.704</v>
      </c>
    </row>
    <row r="8" spans="1:6" s="2" customFormat="1" ht="21.75" customHeight="1">
      <c r="A8" s="18" t="s">
        <v>11</v>
      </c>
      <c r="B8" s="5">
        <f t="shared" si="0"/>
        <v>27344.399400000002</v>
      </c>
      <c r="C8" s="10">
        <f>июль!C8+'август факт'!C8+'сентябрь факт'!C8+'октябрь факт'!C8+'ноябрь факт'!C8+'декабрь факт '!C8</f>
        <v>104.77300000000001</v>
      </c>
      <c r="D8" s="10">
        <f>июль!D8+'август факт'!D8+'сентябрь факт'!D8+'октябрь факт'!D8+'ноябрь факт'!D8+'декабрь факт '!D8</f>
        <v>0</v>
      </c>
      <c r="E8" s="10">
        <f>июль!E8+'август факт'!E8+'сентябрь факт'!E8+'октябрь факт'!E8+'ноябрь факт'!E8+'декабрь факт '!E8</f>
        <v>966.7293999999999</v>
      </c>
      <c r="F8" s="17">
        <f>июль!F8+'август факт'!F8+'сентябрь факт'!F8+'октябрь факт'!F8+'ноябрь факт'!F8+'декабрь факт '!F8</f>
        <v>26272.897</v>
      </c>
    </row>
    <row r="9" spans="1:6" s="2" customFormat="1" ht="24.75" customHeight="1">
      <c r="A9" s="18" t="s">
        <v>12</v>
      </c>
      <c r="B9" s="5">
        <f t="shared" si="0"/>
        <v>67493.891</v>
      </c>
      <c r="C9" s="10">
        <f>июль!C9+'август факт'!C9+'сентябрь факт'!C9+'октябрь факт'!C9+'ноябрь факт'!C9+'декабрь факт '!C9</f>
        <v>134.942</v>
      </c>
      <c r="D9" s="10">
        <f>июль!D9+'август факт'!D9+'сентябрь факт'!D9+'октябрь факт'!D9+'ноябрь факт'!D9+'декабрь факт '!D9</f>
        <v>7.470000000000001</v>
      </c>
      <c r="E9" s="10">
        <f>июль!E9+'август факт'!E9+'сентябрь факт'!E9+'октябрь факт'!E9+'ноябрь факт'!E9+'декабрь факт '!E9</f>
        <v>4080.672</v>
      </c>
      <c r="F9" s="17">
        <f>июль!F9+'август факт'!F9+'сентябрь факт'!F9+'октябрь факт'!F9+'ноябрь факт'!F9+'декабрь факт '!F9</f>
        <v>63270.807</v>
      </c>
    </row>
    <row r="10" spans="1:6" s="2" customFormat="1" ht="47.25" customHeight="1">
      <c r="A10" s="75" t="s">
        <v>58</v>
      </c>
      <c r="B10" s="5">
        <f t="shared" si="0"/>
        <v>34200.136999999995</v>
      </c>
      <c r="C10" s="20">
        <f>C11+C12</f>
        <v>5161.18</v>
      </c>
      <c r="D10" s="20">
        <f>D11+D12</f>
        <v>0</v>
      </c>
      <c r="E10" s="20">
        <f>E11+E12</f>
        <v>12032.844</v>
      </c>
      <c r="F10" s="21">
        <f>F11+F12</f>
        <v>17006.112999999998</v>
      </c>
    </row>
    <row r="11" spans="1:6" s="2" customFormat="1" ht="21.75" customHeight="1">
      <c r="A11" s="18" t="s">
        <v>13</v>
      </c>
      <c r="B11" s="5">
        <f t="shared" si="0"/>
        <v>21588.332000000002</v>
      </c>
      <c r="C11" s="8">
        <f>июль!C11+'август факт'!C11+'сентябрь факт'!C11+'октябрь факт'!C11+'ноябрь факт'!C11+'декабрь факт '!C11</f>
        <v>4637.487</v>
      </c>
      <c r="D11" s="8">
        <f>июль!D11+'август факт'!D11+'сентябрь факт'!D11+'октябрь факт'!D11+'ноябрь факт'!D11+'декабрь факт '!D11</f>
        <v>0</v>
      </c>
      <c r="E11" s="8">
        <f>июль!E11+'август факт'!E11+'сентябрь факт'!E11+'октябрь факт'!E11+'ноябрь факт'!E11+'декабрь факт '!E11</f>
        <v>10086.124</v>
      </c>
      <c r="F11" s="9">
        <f>июль!F11+'август факт'!F11+'сентябрь факт'!F11+'октябрь факт'!F11+'ноябрь факт'!F11+'декабрь факт '!F11</f>
        <v>6864.721</v>
      </c>
    </row>
    <row r="12" spans="1:6" s="2" customFormat="1" ht="19.5" customHeight="1">
      <c r="A12" s="18" t="s">
        <v>10</v>
      </c>
      <c r="B12" s="5">
        <f t="shared" si="0"/>
        <v>12611.805</v>
      </c>
      <c r="C12" s="20">
        <f>C13+C14</f>
        <v>523.693</v>
      </c>
      <c r="D12" s="20">
        <f>D13+D14</f>
        <v>0</v>
      </c>
      <c r="E12" s="20">
        <f>E13+E14</f>
        <v>1946.72</v>
      </c>
      <c r="F12" s="21">
        <f>F13+F14</f>
        <v>10141.392</v>
      </c>
    </row>
    <row r="13" spans="1:6" s="2" customFormat="1" ht="17.25" customHeight="1">
      <c r="A13" s="18" t="s">
        <v>11</v>
      </c>
      <c r="B13" s="5">
        <f t="shared" si="0"/>
        <v>7284.515</v>
      </c>
      <c r="C13" s="10">
        <f>июль!C13+'август факт'!C13+'сентябрь факт'!C13+'октябрь факт'!C13+'ноябрь факт'!C13+'декабрь факт '!C13</f>
        <v>0</v>
      </c>
      <c r="D13" s="10">
        <f>июль!D13+'август факт'!D13+'сентябрь факт'!D13+'октябрь факт'!D13+'ноябрь факт'!D13+'декабрь факт '!D13</f>
        <v>0</v>
      </c>
      <c r="E13" s="10">
        <f>июль!E13+'август факт'!E13+'сентябрь факт'!E13+'октябрь факт'!E13+'ноябрь факт'!E13+'декабрь факт '!E13</f>
        <v>377.08799999999997</v>
      </c>
      <c r="F13" s="17">
        <f>июль!F13+'август факт'!F13+'сентябрь факт'!F13+'октябрь факт'!F13+'ноябрь факт'!F13+'декабрь факт '!F13</f>
        <v>6907.427000000001</v>
      </c>
    </row>
    <row r="14" spans="1:6" s="2" customFormat="1" ht="17.25" customHeight="1">
      <c r="A14" s="18" t="s">
        <v>12</v>
      </c>
      <c r="B14" s="5">
        <f t="shared" si="0"/>
        <v>5327.29</v>
      </c>
      <c r="C14" s="10">
        <f>июль!C14+'август факт'!C14+'сентябрь факт'!C14+'октябрь факт'!C14+'ноябрь факт'!C14+'декабрь факт '!C14</f>
        <v>523.693</v>
      </c>
      <c r="D14" s="10">
        <f>июль!D14+'август факт'!D14+'сентябрь факт'!D14+'октябрь факт'!D14+'ноябрь факт'!D14+'декабрь факт '!D14</f>
        <v>0</v>
      </c>
      <c r="E14" s="10">
        <f>июль!E14+'август факт'!E14+'сентябрь факт'!E14+'октябрь факт'!E14+'ноябрь факт'!E14+'декабрь факт '!E14</f>
        <v>1569.632</v>
      </c>
      <c r="F14" s="17">
        <f>июль!F14+'август факт'!F14+'сентябрь факт'!F14+'октябрь факт'!F14+'ноябрь факт'!F14+'декабрь факт '!F14</f>
        <v>3233.965</v>
      </c>
    </row>
    <row r="15" spans="1:6" s="2" customFormat="1" ht="35.25" customHeight="1">
      <c r="A15" s="75" t="s">
        <v>6</v>
      </c>
      <c r="B15" s="5">
        <f t="shared" si="0"/>
        <v>7317.837</v>
      </c>
      <c r="C15" s="20">
        <f>C16+C17</f>
        <v>7317.837</v>
      </c>
      <c r="D15" s="20">
        <f>D16+D17</f>
        <v>0</v>
      </c>
      <c r="E15" s="20">
        <f>E16+E17</f>
        <v>0</v>
      </c>
      <c r="F15" s="21">
        <f>F16+F17</f>
        <v>0</v>
      </c>
    </row>
    <row r="16" spans="1:6" s="2" customFormat="1" ht="19.5" customHeight="1">
      <c r="A16" s="18" t="s">
        <v>13</v>
      </c>
      <c r="B16" s="5">
        <f t="shared" si="0"/>
        <v>7314.995000000001</v>
      </c>
      <c r="C16" s="8">
        <f>июль!C16+'август факт'!C16+'сентябрь факт'!C16+'октябрь факт'!C16+'ноябрь факт'!C16+'декабрь факт '!C16</f>
        <v>7314.995000000001</v>
      </c>
      <c r="D16" s="8">
        <f>июль!D16+'август факт'!D16+'сентябрь факт'!D16+'октябрь факт'!D16+'ноябрь факт'!D16+'декабрь факт '!D16</f>
        <v>0</v>
      </c>
      <c r="E16" s="8">
        <f>июль!E16+'август факт'!E16+'сентябрь факт'!E16+'октябрь факт'!E16+'ноябрь факт'!E16+'декабрь факт '!E16</f>
        <v>0</v>
      </c>
      <c r="F16" s="9">
        <f>июль!F16+'август факт'!F16+'сентябрь факт'!F16+'октябрь факт'!F16+'ноябрь факт'!F16+'декабрь факт '!F16</f>
        <v>0</v>
      </c>
    </row>
    <row r="17" spans="1:6" s="2" customFormat="1" ht="18" customHeight="1">
      <c r="A17" s="18" t="s">
        <v>10</v>
      </c>
      <c r="B17" s="5">
        <f t="shared" si="0"/>
        <v>2.8419999999999996</v>
      </c>
      <c r="C17" s="20">
        <f>C18+C19</f>
        <v>2.8419999999999996</v>
      </c>
      <c r="D17" s="20">
        <f>D18+D19</f>
        <v>0</v>
      </c>
      <c r="E17" s="20">
        <f>E18+E19</f>
        <v>0</v>
      </c>
      <c r="F17" s="21">
        <f>F18+F19</f>
        <v>0</v>
      </c>
    </row>
    <row r="18" spans="1:6" s="2" customFormat="1" ht="19.5" customHeight="1">
      <c r="A18" s="18" t="s">
        <v>11</v>
      </c>
      <c r="B18" s="5">
        <f t="shared" si="0"/>
        <v>2.8419999999999996</v>
      </c>
      <c r="C18" s="10">
        <f>июль!C18+'август факт'!C18+'сентябрь факт'!C18+'октябрь факт'!C18+'ноябрь факт'!C18+'декабрь факт '!C18</f>
        <v>2.8419999999999996</v>
      </c>
      <c r="D18" s="10">
        <f>июль!D18+'август факт'!D18+'сентябрь факт'!D18+'октябрь факт'!D18+'ноябрь факт'!D18+'декабрь факт '!D18</f>
        <v>0</v>
      </c>
      <c r="E18" s="10">
        <f>июль!E18+'август факт'!E18+'сентябрь факт'!E18+'октябрь факт'!E18+'ноябрь факт'!E18+'декабрь факт '!E18</f>
        <v>0</v>
      </c>
      <c r="F18" s="17">
        <f>июль!F18+'август факт'!F18+'сентябрь факт'!F18+'октябрь факт'!F18+'ноябрь факт'!F18+'декабрь факт '!F18</f>
        <v>0</v>
      </c>
    </row>
    <row r="19" spans="1:6" s="2" customFormat="1" ht="19.5" customHeight="1">
      <c r="A19" s="18" t="s">
        <v>12</v>
      </c>
      <c r="B19" s="5">
        <f t="shared" si="0"/>
        <v>0</v>
      </c>
      <c r="C19" s="10">
        <f>июль!C19+'август факт'!C19+'сентябрь факт'!C19+'октябрь факт'!C19+'ноябрь факт'!C19+'декабрь факт '!C19</f>
        <v>0</v>
      </c>
      <c r="D19" s="10">
        <f>июль!D19+'август факт'!D19+'сентябрь факт'!D19+'октябрь факт'!D19+'ноябрь факт'!D19+'декабрь факт '!D19</f>
        <v>0</v>
      </c>
      <c r="E19" s="10">
        <f>июль!E19+'август факт'!E19+'сентябрь факт'!E19+'октябрь факт'!E19+'ноябрь факт'!E19+'декабрь факт '!E19</f>
        <v>0</v>
      </c>
      <c r="F19" s="17">
        <f>июль!F19+'август факт'!F19+'сентябрь факт'!F19+'октябрь факт'!F19+'ноябрь факт'!F19+'декабрь факт '!F19</f>
        <v>0</v>
      </c>
    </row>
    <row r="20" spans="1:6" s="2" customFormat="1" ht="51" customHeight="1">
      <c r="A20" s="75" t="s">
        <v>59</v>
      </c>
      <c r="B20" s="5">
        <f t="shared" si="0"/>
        <v>2821.041</v>
      </c>
      <c r="C20" s="20">
        <f>C21+C22</f>
        <v>100.381</v>
      </c>
      <c r="D20" s="20">
        <f>D21+D22</f>
        <v>2123.44</v>
      </c>
      <c r="E20" s="20">
        <f>E21+E22</f>
        <v>121.184</v>
      </c>
      <c r="F20" s="21">
        <f>F21+F22</f>
        <v>476.036</v>
      </c>
    </row>
    <row r="21" spans="1:6" s="2" customFormat="1" ht="21.75" customHeight="1">
      <c r="A21" s="18" t="s">
        <v>13</v>
      </c>
      <c r="B21" s="5">
        <f t="shared" si="0"/>
        <v>2712.4410000000003</v>
      </c>
      <c r="C21" s="8">
        <f>июль!C21+'август факт'!C21+'сентябрь факт'!C21+'октябрь факт'!C21+'ноябрь факт'!C21+'декабрь факт '!C21</f>
        <v>100.381</v>
      </c>
      <c r="D21" s="8">
        <f>июль!D21+'август факт'!D21+'сентябрь факт'!D21+'октябрь факт'!D21+'ноябрь факт'!D21+'декабрь факт '!D21</f>
        <v>2123.44</v>
      </c>
      <c r="E21" s="8">
        <f>июль!E21+'август факт'!E21+'сентябрь факт'!E21+'октябрь факт'!E21+'ноябрь факт'!E21+'декабрь факт '!E21</f>
        <v>121.184</v>
      </c>
      <c r="F21" s="9">
        <f>июль!F21+'август факт'!F21+'сентябрь факт'!F21+'октябрь факт'!F21+'ноябрь факт'!F21+'декабрь факт '!F21</f>
        <v>367.436</v>
      </c>
    </row>
    <row r="22" spans="1:6" s="2" customFormat="1" ht="21" customHeight="1">
      <c r="A22" s="18" t="s">
        <v>10</v>
      </c>
      <c r="B22" s="5">
        <f t="shared" si="0"/>
        <v>108.60000000000002</v>
      </c>
      <c r="C22" s="20">
        <f>C23+C24</f>
        <v>0</v>
      </c>
      <c r="D22" s="20">
        <f>D23+D24</f>
        <v>0</v>
      </c>
      <c r="E22" s="20">
        <f>E23+E24</f>
        <v>0</v>
      </c>
      <c r="F22" s="21">
        <f>F23+F24</f>
        <v>108.60000000000002</v>
      </c>
    </row>
    <row r="23" spans="1:6" s="2" customFormat="1" ht="21.75" customHeight="1">
      <c r="A23" s="18" t="s">
        <v>11</v>
      </c>
      <c r="B23" s="5">
        <f t="shared" si="0"/>
        <v>108.60000000000002</v>
      </c>
      <c r="C23" s="10">
        <f>июль!C23+'август факт'!C23+'сентябрь факт'!C23+'октябрь факт'!C23+'ноябрь факт'!C23+'декабрь факт '!C23</f>
        <v>0</v>
      </c>
      <c r="D23" s="10">
        <f>июль!D23+'август факт'!D23+'сентябрь факт'!D23+'октябрь факт'!D23+'ноябрь факт'!D23+'декабрь факт '!D23</f>
        <v>0</v>
      </c>
      <c r="E23" s="10">
        <f>июль!E23+'август факт'!E23+'сентябрь факт'!E23+'октябрь факт'!E23+'ноябрь факт'!E23+'декабрь факт '!E23</f>
        <v>0</v>
      </c>
      <c r="F23" s="17">
        <f>июль!F23+'август факт'!F23+'сентябрь факт'!F23+'октябрь факт'!F23+'ноябрь факт'!F23+'декабрь факт '!F23</f>
        <v>108.60000000000002</v>
      </c>
    </row>
    <row r="24" spans="1:6" s="2" customFormat="1" ht="21" customHeight="1">
      <c r="A24" s="18" t="s">
        <v>12</v>
      </c>
      <c r="B24" s="5">
        <f t="shared" si="0"/>
        <v>0</v>
      </c>
      <c r="C24" s="10">
        <f>июль!C24+'август факт'!C24+'сентябрь факт'!C24+'октябрь факт'!C24+'ноябрь факт'!C24+'декабрь факт '!C24</f>
        <v>0</v>
      </c>
      <c r="D24" s="10">
        <f>июль!D24+'август факт'!D24+'сентябрь факт'!D24+'октябрь факт'!D24+'ноябрь факт'!D24+'декабрь факт '!D24</f>
        <v>0</v>
      </c>
      <c r="E24" s="10">
        <f>июль!E24+'август факт'!E24+'сентябрь факт'!E24+'октябрь факт'!E24+'ноябрь факт'!E24+'декабрь факт '!E24</f>
        <v>0</v>
      </c>
      <c r="F24" s="17">
        <f>июль!F24+'август факт'!F24+'сентябрь факт'!F24+'октябрь факт'!F24+'ноябрь факт'!F24+'декабрь факт '!F24</f>
        <v>0</v>
      </c>
    </row>
    <row r="25" spans="1:6" s="2" customFormat="1" ht="41.25" customHeight="1">
      <c r="A25" s="75" t="s">
        <v>7</v>
      </c>
      <c r="B25" s="5">
        <f t="shared" si="0"/>
        <v>76300.72300000001</v>
      </c>
      <c r="C25" s="20">
        <f>C26+C27</f>
        <v>43149.075000000004</v>
      </c>
      <c r="D25" s="20">
        <f>D26+D27</f>
        <v>0</v>
      </c>
      <c r="E25" s="20">
        <f>E26+E27</f>
        <v>11561.302</v>
      </c>
      <c r="F25" s="21">
        <f>F26+F27</f>
        <v>21590.346</v>
      </c>
    </row>
    <row r="26" spans="1:6" s="2" customFormat="1" ht="19.5" customHeight="1">
      <c r="A26" s="18" t="s">
        <v>13</v>
      </c>
      <c r="B26" s="5">
        <f t="shared" si="0"/>
        <v>61471.69300000001</v>
      </c>
      <c r="C26" s="8">
        <f>июль!C26+'август факт'!C26+'сентябрь факт'!C26+'октябрь факт'!C26+'ноябрь факт'!C26+'декабрь факт '!C26</f>
        <v>43149.075000000004</v>
      </c>
      <c r="D26" s="8">
        <f>июль!D26+'август факт'!D26+'сентябрь факт'!D26+'октябрь факт'!D26+'ноябрь факт'!D26+'декабрь факт '!D26</f>
        <v>0</v>
      </c>
      <c r="E26" s="8">
        <f>июль!E26+'август факт'!E26+'сентябрь факт'!E26+'октябрь факт'!E26+'ноябрь факт'!E26+'декабрь факт '!E26</f>
        <v>11229.046</v>
      </c>
      <c r="F26" s="9">
        <f>июль!F26+'август факт'!F26+'сентябрь факт'!F26+'октябрь факт'!F26+'ноябрь факт'!F26+'декабрь факт '!F26</f>
        <v>7093.572</v>
      </c>
    </row>
    <row r="27" spans="1:6" s="2" customFormat="1" ht="24.75" customHeight="1">
      <c r="A27" s="18" t="s">
        <v>10</v>
      </c>
      <c r="B27" s="5">
        <f t="shared" si="0"/>
        <v>14829.03</v>
      </c>
      <c r="C27" s="20">
        <f>C28+C29</f>
        <v>0</v>
      </c>
      <c r="D27" s="20">
        <f>D28+D29</f>
        <v>0</v>
      </c>
      <c r="E27" s="20">
        <f>E28+E29</f>
        <v>332.25600000000003</v>
      </c>
      <c r="F27" s="21">
        <f>F28+F29</f>
        <v>14496.774000000001</v>
      </c>
    </row>
    <row r="28" spans="1:6" s="2" customFormat="1" ht="25.5" customHeight="1">
      <c r="A28" s="18" t="s">
        <v>11</v>
      </c>
      <c r="B28" s="5">
        <f t="shared" si="0"/>
        <v>14649.258</v>
      </c>
      <c r="C28" s="10">
        <f>июль!C28+'август факт'!C28+'сентябрь факт'!C28+'октябрь факт'!C28+'ноябрь факт'!C28+'декабрь факт '!C28</f>
        <v>0</v>
      </c>
      <c r="D28" s="10">
        <f>июль!D28+'август факт'!D28+'сентябрь факт'!D28+'октябрь факт'!D28+'ноябрь факт'!D28+'декабрь факт '!D28</f>
        <v>0</v>
      </c>
      <c r="E28" s="10">
        <f>июль!E28+'август факт'!E28+'сентябрь факт'!E28+'октябрь факт'!E28+'ноябрь факт'!E28+'декабрь факт '!E28</f>
        <v>332.25600000000003</v>
      </c>
      <c r="F28" s="17">
        <f>июль!F28+'август факт'!F28+'сентябрь факт'!F28+'октябрь факт'!F28+'ноябрь факт'!F28+'декабрь факт '!F28</f>
        <v>14317.002</v>
      </c>
    </row>
    <row r="29" spans="1:6" s="2" customFormat="1" ht="20.25" customHeight="1">
      <c r="A29" s="18" t="s">
        <v>12</v>
      </c>
      <c r="B29" s="5">
        <f t="shared" si="0"/>
        <v>179.77200000000002</v>
      </c>
      <c r="C29" s="10">
        <f>июль!C29+'август факт'!C29+'сентябрь факт'!C29+'октябрь факт'!C29+'ноябрь факт'!C29+'декабрь факт '!C29</f>
        <v>0</v>
      </c>
      <c r="D29" s="10">
        <f>июль!D29+'август факт'!D29+'сентябрь факт'!D29+'октябрь факт'!D29+'ноябрь факт'!D29+'декабрь факт '!D29</f>
        <v>0</v>
      </c>
      <c r="E29" s="10">
        <f>июль!E29+'август факт'!E29+'сентябрь факт'!E29+'октябрь факт'!E29+'ноябрь факт'!E29+'декабрь факт '!E29</f>
        <v>0</v>
      </c>
      <c r="F29" s="17">
        <f>июль!F29+'август факт'!F29+'сентябрь факт'!F29+'октябрь факт'!F29+'ноябрь факт'!F29+'декабрь факт '!F29</f>
        <v>179.77200000000002</v>
      </c>
    </row>
    <row r="30" spans="1:6" s="2" customFormat="1" ht="50.25" customHeight="1">
      <c r="A30" s="75" t="s">
        <v>60</v>
      </c>
      <c r="B30" s="5">
        <f t="shared" si="0"/>
        <v>735.687</v>
      </c>
      <c r="C30" s="20">
        <f>C31+C32</f>
        <v>0</v>
      </c>
      <c r="D30" s="20">
        <f>D31+D32</f>
        <v>0</v>
      </c>
      <c r="E30" s="20">
        <f>E31+E32</f>
        <v>471.731</v>
      </c>
      <c r="F30" s="21">
        <f>F31+F32</f>
        <v>263.956</v>
      </c>
    </row>
    <row r="31" spans="1:6" s="2" customFormat="1" ht="22.5" customHeight="1">
      <c r="A31" s="18" t="s">
        <v>13</v>
      </c>
      <c r="B31" s="5">
        <f t="shared" si="0"/>
        <v>578.386</v>
      </c>
      <c r="C31" s="8">
        <f>июль!C31+'август факт'!C31+'сентябрь факт'!C31+'октябрь факт'!C31+'ноябрь факт'!C31+'декабрь факт '!C31</f>
        <v>0</v>
      </c>
      <c r="D31" s="8">
        <f>июль!D31+'август факт'!D31+'сентябрь факт'!D31+'октябрь факт'!D31+'ноябрь факт'!D31+'декабрь факт '!D31</f>
        <v>0</v>
      </c>
      <c r="E31" s="8">
        <f>июль!E31+'август факт'!E31+'сентябрь факт'!E31+'октябрь факт'!E31+'ноябрь факт'!E31+'декабрь факт '!E31</f>
        <v>471.731</v>
      </c>
      <c r="F31" s="9">
        <f>июль!F31+'август факт'!F31+'сентябрь факт'!F31+'октябрь факт'!F31+'ноябрь факт'!F31+'декабрь факт '!F31</f>
        <v>106.655</v>
      </c>
    </row>
    <row r="32" spans="1:6" s="2" customFormat="1" ht="24.75" customHeight="1">
      <c r="A32" s="18" t="s">
        <v>10</v>
      </c>
      <c r="B32" s="5">
        <f t="shared" si="0"/>
        <v>157.301</v>
      </c>
      <c r="C32" s="20">
        <f>C33+C34</f>
        <v>0</v>
      </c>
      <c r="D32" s="20">
        <f>D33+D34</f>
        <v>0</v>
      </c>
      <c r="E32" s="20">
        <f>E33+E34</f>
        <v>0</v>
      </c>
      <c r="F32" s="21">
        <f>F33+F34</f>
        <v>157.301</v>
      </c>
    </row>
    <row r="33" spans="1:6" s="2" customFormat="1" ht="18" customHeight="1">
      <c r="A33" s="18" t="s">
        <v>11</v>
      </c>
      <c r="B33" s="5">
        <f t="shared" si="0"/>
        <v>126.00399999999999</v>
      </c>
      <c r="C33" s="10">
        <f>июль!C33+'август факт'!C33+'сентябрь факт'!C33+'октябрь факт'!C33+'ноябрь факт'!C33+'декабрь факт '!C33</f>
        <v>0</v>
      </c>
      <c r="D33" s="10">
        <f>июль!D33+'август факт'!D33+'сентябрь факт'!D33+'октябрь факт'!D33+'ноябрь факт'!D33+'декабрь факт '!D33</f>
        <v>0</v>
      </c>
      <c r="E33" s="10">
        <f>июль!E33+'август факт'!E33+'сентябрь факт'!E33+'октябрь факт'!E33+'ноябрь факт'!E33+'декабрь факт '!E33</f>
        <v>0</v>
      </c>
      <c r="F33" s="17">
        <f>июль!F33+'август факт'!F33+'сентябрь факт'!F33+'октябрь факт'!F33+'ноябрь факт'!F33+'декабрь факт '!F33</f>
        <v>126.00399999999999</v>
      </c>
    </row>
    <row r="34" spans="1:6" s="2" customFormat="1" ht="18" customHeight="1">
      <c r="A34" s="18" t="s">
        <v>12</v>
      </c>
      <c r="B34" s="5">
        <f t="shared" si="0"/>
        <v>31.297000000000004</v>
      </c>
      <c r="C34" s="10">
        <f>июль!C34+'август факт'!C34+'сентябрь факт'!C34+'октябрь факт'!C34+'ноябрь факт'!C34+'декабрь факт '!C34</f>
        <v>0</v>
      </c>
      <c r="D34" s="10">
        <f>июль!D34+'август факт'!D34+'сентябрь факт'!D34+'октябрь факт'!D34+'ноябрь факт'!D34+'декабрь факт '!D34</f>
        <v>0</v>
      </c>
      <c r="E34" s="10">
        <f>июль!E34+'август факт'!E34+'сентябрь факт'!E34+'октябрь факт'!E34+'ноябрь факт'!E34+'декабрь факт '!E34</f>
        <v>0</v>
      </c>
      <c r="F34" s="17">
        <f>июль!F34+'август факт'!F34+'сентябрь факт'!F34+'октябрь факт'!F34+'ноябрь факт'!F34+'декабрь факт '!F34</f>
        <v>31.297000000000004</v>
      </c>
    </row>
    <row r="35" spans="1:6" s="2" customFormat="1" ht="25.5" customHeight="1">
      <c r="A35" s="75" t="s">
        <v>61</v>
      </c>
      <c r="B35" s="5">
        <f t="shared" si="0"/>
        <v>771.2959999999999</v>
      </c>
      <c r="C35" s="20">
        <f>C36+C37</f>
        <v>42.335</v>
      </c>
      <c r="D35" s="20">
        <f>D36+D37</f>
        <v>0</v>
      </c>
      <c r="E35" s="20">
        <f>E36+E37</f>
        <v>26.743</v>
      </c>
      <c r="F35" s="21">
        <f>F36+F37</f>
        <v>702.218</v>
      </c>
    </row>
    <row r="36" spans="1:6" s="2" customFormat="1" ht="23.25" customHeight="1">
      <c r="A36" s="18" t="s">
        <v>13</v>
      </c>
      <c r="B36" s="5">
        <f t="shared" si="0"/>
        <v>689.343</v>
      </c>
      <c r="C36" s="8">
        <f>июль!C36+'август факт'!C36+'сентябрь факт'!C36+'октябрь факт'!C36+'ноябрь факт'!C36+'декабрь факт '!C36</f>
        <v>42.335</v>
      </c>
      <c r="D36" s="8">
        <f>июль!D36+'август факт'!D36+'сентябрь факт'!D36+'октябрь факт'!D36+'ноябрь факт'!D36+'декабрь факт '!D36</f>
        <v>0</v>
      </c>
      <c r="E36" s="8">
        <f>июль!E36+'август факт'!E36+'сентябрь факт'!E36+'октябрь факт'!E36+'ноябрь факт'!E36+'декабрь факт '!E36</f>
        <v>15.652</v>
      </c>
      <c r="F36" s="9">
        <f>июль!F36+'август факт'!F36+'сентябрь факт'!F36+'октябрь факт'!F36+'ноябрь факт'!F36+'декабрь факт '!F36</f>
        <v>631.356</v>
      </c>
    </row>
    <row r="37" spans="1:6" s="2" customFormat="1" ht="23.25" customHeight="1">
      <c r="A37" s="18" t="s">
        <v>10</v>
      </c>
      <c r="B37" s="5">
        <f aca="true" t="shared" si="1" ref="B37:B68">C37+D37+E37+F37</f>
        <v>81.95299999999999</v>
      </c>
      <c r="C37" s="20">
        <f>C38+C39</f>
        <v>0</v>
      </c>
      <c r="D37" s="20">
        <f>D38+D39</f>
        <v>0</v>
      </c>
      <c r="E37" s="20">
        <f>E38+E39</f>
        <v>11.091</v>
      </c>
      <c r="F37" s="21">
        <f>F38+F39</f>
        <v>70.862</v>
      </c>
    </row>
    <row r="38" spans="1:6" s="2" customFormat="1" ht="23.25" customHeight="1">
      <c r="A38" s="18" t="s">
        <v>11</v>
      </c>
      <c r="B38" s="5">
        <f t="shared" si="1"/>
        <v>0</v>
      </c>
      <c r="C38" s="10">
        <f>июль!C38+'август факт'!C38+'сентябрь факт'!C38+'октябрь факт'!C38+'ноябрь факт'!C38+'декабрь факт '!C38</f>
        <v>0</v>
      </c>
      <c r="D38" s="10">
        <f>июль!D38+'август факт'!D38+'сентябрь факт'!D38+'октябрь факт'!D38+'ноябрь факт'!D38+'декабрь факт '!D38</f>
        <v>0</v>
      </c>
      <c r="E38" s="10">
        <f>июль!E38+'август факт'!E38+'сентябрь факт'!E38+'октябрь факт'!E38+'ноябрь факт'!E38+'декабрь факт '!E38</f>
        <v>0</v>
      </c>
      <c r="F38" s="17">
        <f>июль!F38+'август факт'!F38+'сентябрь факт'!F38+'октябрь факт'!F38+'ноябрь факт'!F38+'декабрь факт '!F38</f>
        <v>0</v>
      </c>
    </row>
    <row r="39" spans="1:6" s="2" customFormat="1" ht="23.25" customHeight="1">
      <c r="A39" s="18" t="s">
        <v>12</v>
      </c>
      <c r="B39" s="5">
        <f t="shared" si="1"/>
        <v>81.95299999999999</v>
      </c>
      <c r="C39" s="10">
        <f>июль!C39+'август факт'!C39+'сентябрь факт'!C39+'октябрь факт'!C39+'ноябрь факт'!C39+'декабрь факт '!C39</f>
        <v>0</v>
      </c>
      <c r="D39" s="10">
        <f>июль!D39+'август факт'!D39+'сентябрь факт'!D39+'октябрь факт'!D39+'ноябрь факт'!D39+'декабрь факт '!D39</f>
        <v>0</v>
      </c>
      <c r="E39" s="10">
        <f>июль!E39+'август факт'!E39+'сентябрь факт'!E39+'октябрь факт'!E39+'ноябрь факт'!E39+'декабрь факт '!E39</f>
        <v>11.091</v>
      </c>
      <c r="F39" s="17">
        <f>июль!F39+'август факт'!F39+'сентябрь факт'!F39+'октябрь факт'!F39+'ноябрь факт'!F39+'декабрь факт '!F39</f>
        <v>70.862</v>
      </c>
    </row>
    <row r="40" spans="1:6" s="2" customFormat="1" ht="42" customHeight="1">
      <c r="A40" s="75" t="s">
        <v>26</v>
      </c>
      <c r="B40" s="5">
        <f t="shared" si="1"/>
        <v>481.629</v>
      </c>
      <c r="C40" s="20">
        <f>C41+C42</f>
        <v>139.945</v>
      </c>
      <c r="D40" s="20">
        <f>D41+D42</f>
        <v>0</v>
      </c>
      <c r="E40" s="20">
        <f>E41+E42</f>
        <v>341.684</v>
      </c>
      <c r="F40" s="21">
        <f>F41+F42</f>
        <v>0</v>
      </c>
    </row>
    <row r="41" spans="1:6" s="2" customFormat="1" ht="19.5" customHeight="1">
      <c r="A41" s="18" t="s">
        <v>13</v>
      </c>
      <c r="B41" s="5">
        <f t="shared" si="1"/>
        <v>481.629</v>
      </c>
      <c r="C41" s="8">
        <f>июль!C41+'август факт'!C41+'сентябрь факт'!C41+'октябрь факт'!C41+'ноябрь факт'!C41+'декабрь факт '!C41</f>
        <v>139.945</v>
      </c>
      <c r="D41" s="8">
        <f>июль!D41+'август факт'!D41+'сентябрь факт'!D41+'октябрь факт'!D41+'ноябрь факт'!D41+'декабрь факт '!D41</f>
        <v>0</v>
      </c>
      <c r="E41" s="8">
        <f>июль!E41+'август факт'!E41+'сентябрь факт'!E41+'октябрь факт'!E41+'ноябрь факт'!E41+'декабрь факт '!E41</f>
        <v>341.684</v>
      </c>
      <c r="F41" s="9">
        <f>июль!F41+'август факт'!F41+'сентябрь факт'!F41+'октябрь факт'!F41+'ноябрь факт'!F41+'декабрь факт '!F41</f>
        <v>0</v>
      </c>
    </row>
    <row r="42" spans="1:6" s="2" customFormat="1" ht="19.5" customHeight="1">
      <c r="A42" s="18" t="s">
        <v>10</v>
      </c>
      <c r="B42" s="5">
        <f t="shared" si="1"/>
        <v>0</v>
      </c>
      <c r="C42" s="20">
        <f>C43+C44</f>
        <v>0</v>
      </c>
      <c r="D42" s="20">
        <f>D43+D44</f>
        <v>0</v>
      </c>
      <c r="E42" s="20">
        <f>E43+E44</f>
        <v>0</v>
      </c>
      <c r="F42" s="21">
        <f>F43+F44</f>
        <v>0</v>
      </c>
    </row>
    <row r="43" spans="1:6" s="2" customFormat="1" ht="19.5" customHeight="1">
      <c r="A43" s="18" t="s">
        <v>11</v>
      </c>
      <c r="B43" s="5">
        <f t="shared" si="1"/>
        <v>0</v>
      </c>
      <c r="C43" s="10">
        <f>июль!C43+'август факт'!C43+'сентябрь факт'!C43+'октябрь факт'!C43+'ноябрь факт'!C43+'декабрь факт '!C43</f>
        <v>0</v>
      </c>
      <c r="D43" s="10">
        <f>июль!D43+'август факт'!D43+'сентябрь факт'!D43+'октябрь факт'!D43+'ноябрь факт'!D43+'декабрь факт '!D43</f>
        <v>0</v>
      </c>
      <c r="E43" s="10">
        <f>июль!E43+'август факт'!E43+'сентябрь факт'!E43+'октябрь факт'!E43+'ноябрь факт'!E43+'декабрь факт '!E43</f>
        <v>0</v>
      </c>
      <c r="F43" s="17">
        <f>июль!F43+'август факт'!F43+'сентябрь факт'!F43+'октябрь факт'!F43+'ноябрь факт'!F43+'декабрь факт '!F43</f>
        <v>0</v>
      </c>
    </row>
    <row r="44" spans="1:6" s="2" customFormat="1" ht="19.5" customHeight="1">
      <c r="A44" s="18" t="s">
        <v>12</v>
      </c>
      <c r="B44" s="5">
        <f t="shared" si="1"/>
        <v>0</v>
      </c>
      <c r="C44" s="10">
        <f>июль!C44+'август факт'!C44+'сентябрь факт'!C44+'октябрь факт'!C44+'ноябрь факт'!C44+'декабрь факт '!C44</f>
        <v>0</v>
      </c>
      <c r="D44" s="10">
        <f>июль!D44+'август факт'!D44+'сентябрь факт'!D44+'октябрь факт'!D44+'ноябрь факт'!D44+'декабрь факт '!D44</f>
        <v>0</v>
      </c>
      <c r="E44" s="10">
        <f>июль!E44+'август факт'!E44+'сентябрь факт'!E44+'октябрь факт'!E44+'ноябрь факт'!E44+'декабрь факт '!E44</f>
        <v>0</v>
      </c>
      <c r="F44" s="17">
        <f>июль!F44+'август факт'!F44+'сентябрь факт'!F44+'октябрь факт'!F44+'ноябрь факт'!F44+'декабрь факт '!F44</f>
        <v>0</v>
      </c>
    </row>
    <row r="45" spans="1:6" s="2" customFormat="1" ht="24.75" customHeight="1">
      <c r="A45" s="31" t="s">
        <v>29</v>
      </c>
      <c r="B45" s="5">
        <f t="shared" si="1"/>
        <v>2630.6130000000003</v>
      </c>
      <c r="C45" s="20">
        <f>C46+C47</f>
        <v>0</v>
      </c>
      <c r="D45" s="20">
        <f>D46+D47</f>
        <v>0</v>
      </c>
      <c r="E45" s="20">
        <f>E46+E47</f>
        <v>2140.108</v>
      </c>
      <c r="F45" s="21">
        <f>F46+F47</f>
        <v>490.505</v>
      </c>
    </row>
    <row r="46" spans="1:6" s="2" customFormat="1" ht="24.75" customHeight="1">
      <c r="A46" s="18" t="s">
        <v>13</v>
      </c>
      <c r="B46" s="5">
        <f t="shared" si="1"/>
        <v>2630.6130000000003</v>
      </c>
      <c r="C46" s="8">
        <f>июль!C46+'август факт'!C46+'сентябрь факт'!C46+'октябрь факт'!C46+'ноябрь факт'!C46+'декабрь факт '!C46</f>
        <v>0</v>
      </c>
      <c r="D46" s="8">
        <f>июль!D46+'август факт'!D46+'сентябрь факт'!D46+'октябрь факт'!D46+'ноябрь факт'!D46+'декабрь факт '!D46</f>
        <v>0</v>
      </c>
      <c r="E46" s="8">
        <f>июль!E46+'август факт'!E46+'сентябрь факт'!E46+'октябрь факт'!E46+'ноябрь факт'!E46+'декабрь факт '!E46</f>
        <v>2140.108</v>
      </c>
      <c r="F46" s="9">
        <f>июль!F46+'август факт'!F46+'сентябрь факт'!F46+'октябрь факт'!F46+'ноябрь факт'!F46+'декабрь факт '!F46</f>
        <v>490.505</v>
      </c>
    </row>
    <row r="47" spans="1:6" s="2" customFormat="1" ht="24.75" customHeight="1">
      <c r="A47" s="18" t="s">
        <v>10</v>
      </c>
      <c r="B47" s="5">
        <f t="shared" si="1"/>
        <v>0</v>
      </c>
      <c r="C47" s="20">
        <f>C48+C49</f>
        <v>0</v>
      </c>
      <c r="D47" s="20">
        <f>D48+D49</f>
        <v>0</v>
      </c>
      <c r="E47" s="20">
        <f>E48+E49</f>
        <v>0</v>
      </c>
      <c r="F47" s="21">
        <f>F48+F49</f>
        <v>0</v>
      </c>
    </row>
    <row r="48" spans="1:6" s="2" customFormat="1" ht="24.75" customHeight="1">
      <c r="A48" s="18" t="s">
        <v>11</v>
      </c>
      <c r="B48" s="5">
        <f t="shared" si="1"/>
        <v>0</v>
      </c>
      <c r="C48" s="10">
        <f>июль!C48+'август факт'!C48+'сентябрь факт'!C48+'октябрь факт'!C48+'ноябрь факт'!C48+'декабрь факт '!C48</f>
        <v>0</v>
      </c>
      <c r="D48" s="10">
        <f>июль!D48+'август факт'!D48+'сентябрь факт'!D48+'октябрь факт'!D48+'ноябрь факт'!D48+'декабрь факт '!D48</f>
        <v>0</v>
      </c>
      <c r="E48" s="10">
        <f>июль!E48+'август факт'!E48+'сентябрь факт'!E48+'октябрь факт'!E48+'ноябрь факт'!E48+'декабрь факт '!E48</f>
        <v>0</v>
      </c>
      <c r="F48" s="17">
        <f>июль!F48+'август факт'!F48+'сентябрь факт'!F48+'октябрь факт'!F48+'ноябрь факт'!F48+'декабрь факт '!F48</f>
        <v>0</v>
      </c>
    </row>
    <row r="49" spans="1:6" s="2" customFormat="1" ht="24.75" customHeight="1">
      <c r="A49" s="18" t="s">
        <v>12</v>
      </c>
      <c r="B49" s="5">
        <f t="shared" si="1"/>
        <v>0</v>
      </c>
      <c r="C49" s="10">
        <f>июль!C49+'август факт'!C49+'сентябрь факт'!C49+'октябрь факт'!C49+'ноябрь факт'!C49+'декабрь факт '!C49</f>
        <v>0</v>
      </c>
      <c r="D49" s="10">
        <f>июль!D49+'август факт'!D49+'сентябрь факт'!D49+'октябрь факт'!D49+'ноябрь факт'!D49+'декабрь факт '!D49</f>
        <v>0</v>
      </c>
      <c r="E49" s="10">
        <f>июль!E49+'август факт'!E49+'сентябрь факт'!E49+'октябрь факт'!E49+'ноябрь факт'!E49+'декабрь факт '!E49</f>
        <v>0</v>
      </c>
      <c r="F49" s="17">
        <f>июль!F49+'август факт'!F49+'сентябрь факт'!F49+'октябрь факт'!F49+'ноябрь факт'!F49+'декабрь факт '!F49</f>
        <v>0</v>
      </c>
    </row>
    <row r="50" spans="1:6" s="2" customFormat="1" ht="24.75" customHeight="1">
      <c r="A50" s="31" t="s">
        <v>4</v>
      </c>
      <c r="B50" s="5">
        <f t="shared" si="1"/>
        <v>4905.514000000001</v>
      </c>
      <c r="C50" s="20">
        <f>C51+C52</f>
        <v>4905.514000000001</v>
      </c>
      <c r="D50" s="20">
        <f>D51+D52</f>
        <v>0</v>
      </c>
      <c r="E50" s="20">
        <f>E51+E52</f>
        <v>0</v>
      </c>
      <c r="F50" s="21">
        <f>F51+F52</f>
        <v>0</v>
      </c>
    </row>
    <row r="51" spans="1:6" s="2" customFormat="1" ht="24.75" customHeight="1">
      <c r="A51" s="18" t="s">
        <v>13</v>
      </c>
      <c r="B51" s="5">
        <f t="shared" si="1"/>
        <v>4905.514000000001</v>
      </c>
      <c r="C51" s="8">
        <f>июль!C51+'август факт'!C51+'сентябрь факт'!C51+'октябрь факт'!C51+'ноябрь факт'!C51+'декабрь факт '!C51</f>
        <v>4905.514000000001</v>
      </c>
      <c r="D51" s="8">
        <f>июль!D51+'август факт'!D51+'сентябрь факт'!D51+'октябрь факт'!D51+'ноябрь факт'!D51+'декабрь факт '!D51</f>
        <v>0</v>
      </c>
      <c r="E51" s="8">
        <f>июль!E51+'август факт'!E51+'сентябрь факт'!E51+'октябрь факт'!E51+'ноябрь факт'!E51+'декабрь факт '!E51</f>
        <v>0</v>
      </c>
      <c r="F51" s="9">
        <f>июль!F51+'август факт'!F51+'сентябрь факт'!F51+'октябрь факт'!F51+'ноябрь факт'!F51+'декабрь факт '!F51</f>
        <v>0</v>
      </c>
    </row>
    <row r="52" spans="1:6" s="2" customFormat="1" ht="24.75" customHeight="1">
      <c r="A52" s="18" t="s">
        <v>10</v>
      </c>
      <c r="B52" s="5">
        <f t="shared" si="1"/>
        <v>0</v>
      </c>
      <c r="C52" s="20">
        <f>C53+C54</f>
        <v>0</v>
      </c>
      <c r="D52" s="20">
        <f>D53+D54</f>
        <v>0</v>
      </c>
      <c r="E52" s="20">
        <f>E53+E54</f>
        <v>0</v>
      </c>
      <c r="F52" s="21">
        <f>F53+F54</f>
        <v>0</v>
      </c>
    </row>
    <row r="53" spans="1:6" s="2" customFormat="1" ht="24.75" customHeight="1">
      <c r="A53" s="18" t="s">
        <v>11</v>
      </c>
      <c r="B53" s="5">
        <f t="shared" si="1"/>
        <v>0</v>
      </c>
      <c r="C53" s="10">
        <f>июль!C53+'август факт'!C53+'сентябрь факт'!C53+'октябрь факт'!C53+'ноябрь факт'!C53+'декабрь факт '!C53</f>
        <v>0</v>
      </c>
      <c r="D53" s="10">
        <f>июль!D53+'август факт'!D53+'сентябрь факт'!D53+'октябрь факт'!D53+'ноябрь факт'!D53+'декабрь факт '!D53</f>
        <v>0</v>
      </c>
      <c r="E53" s="10">
        <f>июль!E53+'август факт'!E53+'сентябрь факт'!E53+'октябрь факт'!E53+'ноябрь факт'!E53+'декабрь факт '!E53</f>
        <v>0</v>
      </c>
      <c r="F53" s="17">
        <f>июль!F53+'август факт'!F53+'сентябрь факт'!F53+'октябрь факт'!F53+'ноябрь факт'!F53+'декабрь факт '!F53</f>
        <v>0</v>
      </c>
    </row>
    <row r="54" spans="1:6" s="2" customFormat="1" ht="24.75" customHeight="1">
      <c r="A54" s="18" t="s">
        <v>12</v>
      </c>
      <c r="B54" s="5">
        <f t="shared" si="1"/>
        <v>0</v>
      </c>
      <c r="C54" s="10">
        <f>июль!C54+'август факт'!C54+'сентябрь факт'!C54+'октябрь факт'!C54+'ноябрь факт'!C54+'декабрь факт '!C54</f>
        <v>0</v>
      </c>
      <c r="D54" s="10">
        <f>июль!D54+'август факт'!D54+'сентябрь факт'!D54+'октябрь факт'!D54+'ноябрь факт'!D54+'декабрь факт '!D54</f>
        <v>0</v>
      </c>
      <c r="E54" s="10">
        <f>июль!E54+'август факт'!E54+'сентябрь факт'!E54+'октябрь факт'!E54+'ноябрь факт'!E54+'декабрь факт '!E54</f>
        <v>0</v>
      </c>
      <c r="F54" s="17">
        <f>июль!F54+'август факт'!F54+'сентябрь факт'!F54+'октябрь факт'!F54+'ноябрь факт'!F54+'декабрь факт '!F54</f>
        <v>0</v>
      </c>
    </row>
    <row r="55" spans="1:6" s="2" customFormat="1" ht="50.25" customHeight="1">
      <c r="A55" s="75" t="s">
        <v>62</v>
      </c>
      <c r="B55" s="5">
        <f t="shared" si="1"/>
        <v>4772.568</v>
      </c>
      <c r="C55" s="20">
        <f>C56+C57</f>
        <v>0</v>
      </c>
      <c r="D55" s="20">
        <f>D56+D57</f>
        <v>0</v>
      </c>
      <c r="E55" s="20">
        <f>E56+E57</f>
        <v>2040.035</v>
      </c>
      <c r="F55" s="21">
        <f>F56+F57</f>
        <v>2732.533</v>
      </c>
    </row>
    <row r="56" spans="1:6" s="2" customFormat="1" ht="26.25" customHeight="1">
      <c r="A56" s="18" t="s">
        <v>13</v>
      </c>
      <c r="B56" s="5">
        <f t="shared" si="1"/>
        <v>2783.7709999999997</v>
      </c>
      <c r="C56" s="8">
        <f>июль!C56+'август факт'!C56+'сентябрь факт'!C56+'октябрь факт'!C56+'ноябрь факт'!C56+'декабрь факт '!C56</f>
        <v>0</v>
      </c>
      <c r="D56" s="8">
        <f>июль!D56+'август факт'!D56+'сентябрь факт'!D56+'октябрь факт'!D56+'ноябрь факт'!D56+'декабрь факт '!D56</f>
        <v>0</v>
      </c>
      <c r="E56" s="8">
        <f>июль!E56+'август факт'!E56+'сентябрь факт'!E56+'октябрь факт'!E56+'ноябрь факт'!E56+'декабрь факт '!E56</f>
        <v>2040.035</v>
      </c>
      <c r="F56" s="9">
        <f>июль!F56+'август факт'!F56+'сентябрь факт'!F56+'октябрь факт'!F56+'ноябрь факт'!F56+'декабрь факт '!F56</f>
        <v>743.7359999999999</v>
      </c>
    </row>
    <row r="57" spans="1:6" s="2" customFormat="1" ht="26.25" customHeight="1">
      <c r="A57" s="18" t="s">
        <v>10</v>
      </c>
      <c r="B57" s="5">
        <f t="shared" si="1"/>
        <v>1988.797</v>
      </c>
      <c r="C57" s="20">
        <f>C58+C59</f>
        <v>0</v>
      </c>
      <c r="D57" s="20">
        <f>D58+D59</f>
        <v>0</v>
      </c>
      <c r="E57" s="20">
        <f>E58+E59</f>
        <v>0</v>
      </c>
      <c r="F57" s="21">
        <f>F58+F59</f>
        <v>1988.797</v>
      </c>
    </row>
    <row r="58" spans="1:6" s="2" customFormat="1" ht="26.25" customHeight="1">
      <c r="A58" s="18" t="s">
        <v>11</v>
      </c>
      <c r="B58" s="5">
        <f t="shared" si="1"/>
        <v>1738.906</v>
      </c>
      <c r="C58" s="10">
        <f>июль!C58+'август факт'!C58+'сентябрь факт'!C58+'октябрь факт'!C58+'ноябрь факт'!C58+'декабрь факт '!C58</f>
        <v>0</v>
      </c>
      <c r="D58" s="10">
        <f>июль!D58+'август факт'!D58+'сентябрь факт'!D58+'октябрь факт'!D58+'ноябрь факт'!D58+'декабрь факт '!D58</f>
        <v>0</v>
      </c>
      <c r="E58" s="10">
        <f>июль!E58+'август факт'!E58+'сентябрь факт'!E58+'октябрь факт'!E58+'ноябрь факт'!E58+'декабрь факт '!E58</f>
        <v>0</v>
      </c>
      <c r="F58" s="17">
        <f>июль!F58+'август факт'!F58+'сентябрь факт'!F58+'октябрь факт'!F58+'ноябрь факт'!F58+'декабрь факт '!F58</f>
        <v>1738.906</v>
      </c>
    </row>
    <row r="59" spans="1:6" s="2" customFormat="1" ht="26.25" customHeight="1">
      <c r="A59" s="18" t="s">
        <v>12</v>
      </c>
      <c r="B59" s="5">
        <f t="shared" si="1"/>
        <v>249.891</v>
      </c>
      <c r="C59" s="10">
        <f>июль!C59+'август факт'!C59+'сентябрь факт'!C59+'октябрь факт'!C59+'ноябрь факт'!C59+'декабрь факт '!C59</f>
        <v>0</v>
      </c>
      <c r="D59" s="10">
        <f>июль!D59+'август факт'!D59+'сентябрь факт'!D59+'октябрь факт'!D59+'ноябрь факт'!D59+'декабрь факт '!D59</f>
        <v>0</v>
      </c>
      <c r="E59" s="10">
        <f>июль!E59+'август факт'!E59+'сентябрь факт'!E59+'октябрь факт'!E59+'ноябрь факт'!E59+'декабрь факт '!E59</f>
        <v>0</v>
      </c>
      <c r="F59" s="17">
        <f>июль!F59+'август факт'!F59+'сентябрь факт'!F59+'октябрь факт'!F59+'ноябрь факт'!F59+'декабрь факт '!F59</f>
        <v>249.891</v>
      </c>
    </row>
    <row r="60" spans="1:6" s="2" customFormat="1" ht="24.75" customHeight="1">
      <c r="A60" s="75" t="s">
        <v>28</v>
      </c>
      <c r="B60" s="5">
        <f t="shared" si="1"/>
        <v>13198.929</v>
      </c>
      <c r="C60" s="20">
        <f>C61+C62</f>
        <v>13129.129</v>
      </c>
      <c r="D60" s="20">
        <f>D61+D62</f>
        <v>0</v>
      </c>
      <c r="E60" s="20">
        <f>E61+E62</f>
        <v>0</v>
      </c>
      <c r="F60" s="21">
        <f>F61+F62</f>
        <v>69.8</v>
      </c>
    </row>
    <row r="61" spans="1:6" s="2" customFormat="1" ht="21.75" customHeight="1">
      <c r="A61" s="18" t="s">
        <v>13</v>
      </c>
      <c r="B61" s="5">
        <f t="shared" si="1"/>
        <v>13198.929</v>
      </c>
      <c r="C61" s="8">
        <f>июль!C61+'август факт'!C61+'сентябрь факт'!C61+'октябрь факт'!C61+'ноябрь факт'!C61+'декабрь факт '!C61</f>
        <v>13129.129</v>
      </c>
      <c r="D61" s="8">
        <f>июль!D61+'август факт'!D61+'сентябрь факт'!D61+'октябрь факт'!D61+'ноябрь факт'!D61+'декабрь факт '!D61</f>
        <v>0</v>
      </c>
      <c r="E61" s="8">
        <f>июль!E61+'август факт'!E61+'сентябрь факт'!E61+'октябрь факт'!E61+'ноябрь факт'!E61+'декабрь факт '!E61</f>
        <v>0</v>
      </c>
      <c r="F61" s="9">
        <f>июль!F61+'август факт'!F61+'сентябрь факт'!F61+'октябрь факт'!F61+'ноябрь факт'!F61+'декабрь факт '!F61</f>
        <v>69.8</v>
      </c>
    </row>
    <row r="62" spans="1:6" s="2" customFormat="1" ht="16.5" customHeight="1">
      <c r="A62" s="18" t="s">
        <v>10</v>
      </c>
      <c r="B62" s="5">
        <f t="shared" si="1"/>
        <v>0</v>
      </c>
      <c r="C62" s="20">
        <f>C63+C64</f>
        <v>0</v>
      </c>
      <c r="D62" s="20">
        <f>D63+D64</f>
        <v>0</v>
      </c>
      <c r="E62" s="20">
        <f>E63+E64</f>
        <v>0</v>
      </c>
      <c r="F62" s="21">
        <f>F63+F64</f>
        <v>0</v>
      </c>
    </row>
    <row r="63" spans="1:6" s="2" customFormat="1" ht="18" customHeight="1">
      <c r="A63" s="18" t="s">
        <v>11</v>
      </c>
      <c r="B63" s="5">
        <f t="shared" si="1"/>
        <v>0</v>
      </c>
      <c r="C63" s="10">
        <f>июль!C63+'август факт'!C63+'сентябрь факт'!C63+'октябрь факт'!C63+'ноябрь факт'!C63+'декабрь факт '!C63</f>
        <v>0</v>
      </c>
      <c r="D63" s="10">
        <f>июль!D63+'август факт'!D63+'сентябрь факт'!D63+'октябрь факт'!D63+'ноябрь факт'!D63+'декабрь факт '!D63</f>
        <v>0</v>
      </c>
      <c r="E63" s="10">
        <f>июль!E63+'август факт'!E63+'сентябрь факт'!E63+'октябрь факт'!E63+'ноябрь факт'!E63+'декабрь факт '!E63</f>
        <v>0</v>
      </c>
      <c r="F63" s="17">
        <f>июль!F63+'август факт'!F63+'сентябрь факт'!F63+'октябрь факт'!F63+'ноябрь факт'!F63+'декабрь факт '!F63</f>
        <v>0</v>
      </c>
    </row>
    <row r="64" spans="1:6" s="2" customFormat="1" ht="18" customHeight="1">
      <c r="A64" s="18" t="s">
        <v>12</v>
      </c>
      <c r="B64" s="5">
        <f t="shared" si="1"/>
        <v>0</v>
      </c>
      <c r="C64" s="10">
        <f>июль!C64+'август факт'!C64+'сентябрь факт'!C64+'октябрь факт'!C64+'ноябрь факт'!C64+'декабрь факт '!C64</f>
        <v>0</v>
      </c>
      <c r="D64" s="10">
        <f>июль!D64+'август факт'!D64+'сентябрь факт'!D64+'октябрь факт'!D64+'ноябрь факт'!D64+'декабрь факт '!D64</f>
        <v>0</v>
      </c>
      <c r="E64" s="10">
        <f>июль!E64+'август факт'!E64+'сентябрь факт'!E64+'октябрь факт'!E64+'ноябрь факт'!E64+'декабрь факт '!E64</f>
        <v>0</v>
      </c>
      <c r="F64" s="17">
        <f>июль!F64+'август факт'!F64+'сентябрь факт'!F64+'октябрь факт'!F64+'ноябрь факт'!F64+'декабрь факт '!F64</f>
        <v>0</v>
      </c>
    </row>
    <row r="65" spans="1:6" s="2" customFormat="1" ht="24.75" customHeight="1">
      <c r="A65" s="75" t="s">
        <v>63</v>
      </c>
      <c r="B65" s="5">
        <f t="shared" si="1"/>
        <v>0</v>
      </c>
      <c r="C65" s="20">
        <f>C66+C67</f>
        <v>0</v>
      </c>
      <c r="D65" s="20">
        <f>D66+D67</f>
        <v>0</v>
      </c>
      <c r="E65" s="20">
        <f>E66+E67</f>
        <v>0</v>
      </c>
      <c r="F65" s="21">
        <f>F66+F67</f>
        <v>0</v>
      </c>
    </row>
    <row r="66" spans="1:6" s="2" customFormat="1" ht="21.75" customHeight="1">
      <c r="A66" s="18" t="s">
        <v>13</v>
      </c>
      <c r="B66" s="5">
        <f t="shared" si="1"/>
        <v>0</v>
      </c>
      <c r="C66" s="8">
        <f>июль!C66+'август факт'!C66+'сентябрь факт'!C66+'октябрь факт'!C66+'ноябрь факт'!C66+'декабрь факт '!C66</f>
        <v>0</v>
      </c>
      <c r="D66" s="8">
        <f>июль!D66+'август факт'!D66+'сентябрь факт'!D66+'октябрь факт'!D66+'ноябрь факт'!D66+'декабрь факт '!D66</f>
        <v>0</v>
      </c>
      <c r="E66" s="8">
        <f>июль!E66+'август факт'!E66+'сентябрь факт'!E66+'октябрь факт'!E66+'ноябрь факт'!E66+'декабрь факт '!E66</f>
        <v>0</v>
      </c>
      <c r="F66" s="9">
        <f>июль!F66+'август факт'!F66+'сентябрь факт'!F66+'октябрь факт'!F66+'ноябрь факт'!F66+'декабрь факт '!F66</f>
        <v>0</v>
      </c>
    </row>
    <row r="67" spans="1:6" s="2" customFormat="1" ht="18" customHeight="1">
      <c r="A67" s="18" t="s">
        <v>10</v>
      </c>
      <c r="B67" s="5">
        <f t="shared" si="1"/>
        <v>0</v>
      </c>
      <c r="C67" s="20">
        <f>C68+C69</f>
        <v>0</v>
      </c>
      <c r="D67" s="20">
        <f>D68+D69</f>
        <v>0</v>
      </c>
      <c r="E67" s="20">
        <f>E68+E69</f>
        <v>0</v>
      </c>
      <c r="F67" s="21">
        <f>F68+F69</f>
        <v>0</v>
      </c>
    </row>
    <row r="68" spans="1:6" s="2" customFormat="1" ht="19.5" customHeight="1">
      <c r="A68" s="18" t="s">
        <v>11</v>
      </c>
      <c r="B68" s="5">
        <f t="shared" si="1"/>
        <v>0</v>
      </c>
      <c r="C68" s="10">
        <f>июль!C68+'август факт'!C68+'сентябрь факт'!C68+'октябрь факт'!C68+'ноябрь факт'!C68+'декабрь факт '!C68</f>
        <v>0</v>
      </c>
      <c r="D68" s="10">
        <f>июль!D68+'август факт'!D68+'сентябрь факт'!D68+'октябрь факт'!D68+'ноябрь факт'!D68+'декабрь факт '!D68</f>
        <v>0</v>
      </c>
      <c r="E68" s="10">
        <f>июль!E68+'август факт'!E68+'сентябрь факт'!E68+'октябрь факт'!E68+'ноябрь факт'!E68+'декабрь факт '!E68</f>
        <v>0</v>
      </c>
      <c r="F68" s="17">
        <f>июль!F68+'август факт'!F68+'сентябрь факт'!F68+'октябрь факт'!F68+'ноябрь факт'!F68+'декабрь факт '!F68</f>
        <v>0</v>
      </c>
    </row>
    <row r="69" spans="1:6" s="2" customFormat="1" ht="19.5" customHeight="1">
      <c r="A69" s="18" t="s">
        <v>12</v>
      </c>
      <c r="B69" s="5">
        <f aca="true" t="shared" si="2" ref="B69:B100">C69+D69+E69+F69</f>
        <v>0</v>
      </c>
      <c r="C69" s="10">
        <f>июль!C69+'август факт'!C69+'сентябрь факт'!C69+'октябрь факт'!C69+'ноябрь факт'!C69+'декабрь факт '!C69</f>
        <v>0</v>
      </c>
      <c r="D69" s="10">
        <f>июль!D69+'август факт'!D69+'сентябрь факт'!D69+'октябрь факт'!D69+'ноябрь факт'!D69+'декабрь факт '!D69</f>
        <v>0</v>
      </c>
      <c r="E69" s="10">
        <f>июль!E69+'август факт'!E69+'сентябрь факт'!E69+'октябрь факт'!E69+'ноябрь факт'!E69+'декабрь факт '!E69</f>
        <v>0</v>
      </c>
      <c r="F69" s="17">
        <f>июль!F69+'август факт'!F69+'сентябрь факт'!F69+'октябрь факт'!F69+'ноябрь факт'!F69+'декабрь факт '!F69</f>
        <v>0</v>
      </c>
    </row>
    <row r="70" spans="1:6" s="6" customFormat="1" ht="36.75" customHeight="1">
      <c r="A70" s="75" t="s">
        <v>25</v>
      </c>
      <c r="B70" s="5">
        <f t="shared" si="2"/>
        <v>451.38100000000003</v>
      </c>
      <c r="C70" s="20">
        <f>C71+C72</f>
        <v>0</v>
      </c>
      <c r="D70" s="20">
        <f>D71+D72</f>
        <v>0</v>
      </c>
      <c r="E70" s="20">
        <f>E71+E72</f>
        <v>0</v>
      </c>
      <c r="F70" s="21">
        <f>F71+F72</f>
        <v>451.38100000000003</v>
      </c>
    </row>
    <row r="71" spans="1:6" s="3" customFormat="1" ht="18.75">
      <c r="A71" s="18" t="s">
        <v>13</v>
      </c>
      <c r="B71" s="5">
        <f t="shared" si="2"/>
        <v>71.039</v>
      </c>
      <c r="C71" s="8">
        <f>июль!C71+'август факт'!C71+'сентябрь факт'!C71+'октябрь факт'!C71+'ноябрь факт'!C71+'декабрь факт '!C71</f>
        <v>0</v>
      </c>
      <c r="D71" s="8">
        <f>июль!D71+'август факт'!D71+'сентябрь факт'!D71+'октябрь факт'!D71+'ноябрь факт'!D71+'декабрь факт '!D71</f>
        <v>0</v>
      </c>
      <c r="E71" s="8">
        <f>июль!E71+'август факт'!E71+'сентябрь факт'!E71+'октябрь факт'!E71+'ноябрь факт'!E71+'декабрь факт '!E71</f>
        <v>0</v>
      </c>
      <c r="F71" s="9">
        <f>июль!F71+'август факт'!F71+'сентябрь факт'!F71+'октябрь факт'!F71+'ноябрь факт'!F71+'декабрь факт '!F71</f>
        <v>71.039</v>
      </c>
    </row>
    <row r="72" spans="1:6" s="3" customFormat="1" ht="18.75">
      <c r="A72" s="18" t="s">
        <v>10</v>
      </c>
      <c r="B72" s="5">
        <f t="shared" si="2"/>
        <v>380.34200000000004</v>
      </c>
      <c r="C72" s="20">
        <f>C73+C74</f>
        <v>0</v>
      </c>
      <c r="D72" s="20">
        <f>D73+D74</f>
        <v>0</v>
      </c>
      <c r="E72" s="20">
        <f>E73+E74</f>
        <v>0</v>
      </c>
      <c r="F72" s="21">
        <f>F73+F74</f>
        <v>380.34200000000004</v>
      </c>
    </row>
    <row r="73" spans="1:6" s="38" customFormat="1" ht="23.25" customHeight="1">
      <c r="A73" s="18" t="s">
        <v>11</v>
      </c>
      <c r="B73" s="5">
        <f t="shared" si="2"/>
        <v>380.34200000000004</v>
      </c>
      <c r="C73" s="10">
        <f>июль!C73+'август факт'!C73+'сентябрь факт'!C73+'октябрь факт'!C73+'ноябрь факт'!C73+'декабрь факт '!C73</f>
        <v>0</v>
      </c>
      <c r="D73" s="10">
        <f>июль!D73+'август факт'!D73+'сентябрь факт'!D73+'октябрь факт'!D73+'ноябрь факт'!D73+'декабрь факт '!D73</f>
        <v>0</v>
      </c>
      <c r="E73" s="10">
        <f>июль!E73+'август факт'!E73+'сентябрь факт'!E73+'октябрь факт'!E73+'ноябрь факт'!E73+'декабрь факт '!E73</f>
        <v>0</v>
      </c>
      <c r="F73" s="17">
        <f>июль!F73+'август факт'!F73+'сентябрь факт'!F73+'октябрь факт'!F73+'ноябрь факт'!F73+'декабрь факт '!F73</f>
        <v>380.34200000000004</v>
      </c>
    </row>
    <row r="74" spans="1:6" s="38" customFormat="1" ht="23.25" customHeight="1">
      <c r="A74" s="18" t="s">
        <v>12</v>
      </c>
      <c r="B74" s="5">
        <f t="shared" si="2"/>
        <v>0</v>
      </c>
      <c r="C74" s="10">
        <f>июль!C74+'август факт'!C74+'сентябрь факт'!C74+'октябрь факт'!C74+'ноябрь факт'!C74+'декабрь факт '!C74</f>
        <v>0</v>
      </c>
      <c r="D74" s="10">
        <f>июль!D74+'август факт'!D74+'сентябрь факт'!D74+'октябрь факт'!D74+'ноябрь факт'!D74+'декабрь факт '!D74</f>
        <v>0</v>
      </c>
      <c r="E74" s="10">
        <f>июль!E74+'август факт'!E74+'сентябрь факт'!E74+'октябрь факт'!E74+'ноябрь факт'!E74+'декабрь факт '!E74</f>
        <v>0</v>
      </c>
      <c r="F74" s="17">
        <f>июль!F74+'август факт'!F74+'сентябрь факт'!F74+'октябрь факт'!F74+'ноябрь факт'!F74+'декабрь факт '!F74</f>
        <v>0</v>
      </c>
    </row>
    <row r="75" spans="1:6" s="38" customFormat="1" ht="43.5" customHeight="1">
      <c r="A75" s="75" t="s">
        <v>64</v>
      </c>
      <c r="B75" s="5">
        <f t="shared" si="2"/>
        <v>1464.7959999999998</v>
      </c>
      <c r="C75" s="20">
        <f>C76+C77</f>
        <v>0</v>
      </c>
      <c r="D75" s="20">
        <f>D76+D77</f>
        <v>0</v>
      </c>
      <c r="E75" s="20">
        <f>E76+E77</f>
        <v>96.303</v>
      </c>
      <c r="F75" s="21">
        <f>F76+F77</f>
        <v>1368.493</v>
      </c>
    </row>
    <row r="76" spans="1:6" s="38" customFormat="1" ht="23.25" customHeight="1">
      <c r="A76" s="18" t="s">
        <v>13</v>
      </c>
      <c r="B76" s="5">
        <f t="shared" si="2"/>
        <v>402.009</v>
      </c>
      <c r="C76" s="8">
        <f>июль!C76+'август факт'!C76+'сентябрь факт'!C76+'октябрь факт'!C76+'ноябрь факт'!C76+'декабрь факт '!C76</f>
        <v>0</v>
      </c>
      <c r="D76" s="8">
        <f>июль!D76+'август факт'!D76+'сентябрь факт'!D76+'октябрь факт'!D76+'ноябрь факт'!D76+'декабрь факт '!D76</f>
        <v>0</v>
      </c>
      <c r="E76" s="8">
        <f>июль!E76+'август факт'!E76+'сентябрь факт'!E76+'октябрь факт'!E76+'ноябрь факт'!E76+'декабрь факт '!E76</f>
        <v>96.303</v>
      </c>
      <c r="F76" s="9">
        <f>июль!F76+'август факт'!F76+'сентябрь факт'!F76+'октябрь факт'!F76+'ноябрь факт'!F76+'декабрь факт '!F76</f>
        <v>305.706</v>
      </c>
    </row>
    <row r="77" spans="1:6" s="38" customFormat="1" ht="23.25" customHeight="1">
      <c r="A77" s="18" t="s">
        <v>10</v>
      </c>
      <c r="B77" s="5">
        <f t="shared" si="2"/>
        <v>1062.787</v>
      </c>
      <c r="C77" s="20">
        <f>C78+C79</f>
        <v>0</v>
      </c>
      <c r="D77" s="20">
        <f>D78+D79</f>
        <v>0</v>
      </c>
      <c r="E77" s="20">
        <f>E78+E79</f>
        <v>0</v>
      </c>
      <c r="F77" s="21">
        <f>F78+F79</f>
        <v>1062.787</v>
      </c>
    </row>
    <row r="78" spans="1:6" s="38" customFormat="1" ht="23.25" customHeight="1">
      <c r="A78" s="18" t="s">
        <v>11</v>
      </c>
      <c r="B78" s="5">
        <f t="shared" si="2"/>
        <v>0</v>
      </c>
      <c r="C78" s="10">
        <f>июль!C78+'август факт'!C78+'сентябрь факт'!C78+'октябрь факт'!C78+'ноябрь факт'!C78+'декабрь факт '!C78</f>
        <v>0</v>
      </c>
      <c r="D78" s="10">
        <f>июль!D78+'август факт'!D78+'сентябрь факт'!D78+'октябрь факт'!D78+'ноябрь факт'!D78+'декабрь факт '!D78</f>
        <v>0</v>
      </c>
      <c r="E78" s="10">
        <f>июль!E78+'август факт'!E78+'сентябрь факт'!E78+'октябрь факт'!E78+'ноябрь факт'!E78+'декабрь факт '!E78</f>
        <v>0</v>
      </c>
      <c r="F78" s="17">
        <f>июль!F78+'август факт'!F78+'сентябрь факт'!F78+'октябрь факт'!F78+'ноябрь факт'!F78+'декабрь факт '!F78</f>
        <v>0</v>
      </c>
    </row>
    <row r="79" spans="1:6" s="38" customFormat="1" ht="23.25" customHeight="1">
      <c r="A79" s="18" t="s">
        <v>12</v>
      </c>
      <c r="B79" s="5">
        <f t="shared" si="2"/>
        <v>1062.787</v>
      </c>
      <c r="C79" s="10">
        <f>июль!C79+'август факт'!C79+'сентябрь факт'!C79+'октябрь факт'!C79+'ноябрь факт'!C79+'декабрь факт '!C79</f>
        <v>0</v>
      </c>
      <c r="D79" s="10">
        <f>июль!D79+'август факт'!D79+'сентябрь факт'!D79+'октябрь факт'!D79+'ноябрь факт'!D79+'декабрь факт '!D79</f>
        <v>0</v>
      </c>
      <c r="E79" s="10">
        <f>июль!E79+'август факт'!E79+'сентябрь факт'!E79+'октябрь факт'!E79+'ноябрь факт'!E79+'декабрь факт '!E79</f>
        <v>0</v>
      </c>
      <c r="F79" s="17">
        <f>июль!F79+'август факт'!F79+'сентябрь факт'!F79+'октябрь факт'!F79+'ноябрь факт'!F79+'декабрь факт '!F79</f>
        <v>1062.787</v>
      </c>
    </row>
    <row r="80" spans="1:6" s="38" customFormat="1" ht="23.25" customHeight="1">
      <c r="A80" s="75" t="s">
        <v>8</v>
      </c>
      <c r="B80" s="5">
        <f t="shared" si="2"/>
        <v>7906.831</v>
      </c>
      <c r="C80" s="20">
        <f>C81+C82</f>
        <v>0</v>
      </c>
      <c r="D80" s="20">
        <f>D81+D82</f>
        <v>0</v>
      </c>
      <c r="E80" s="20">
        <f>E81+E82</f>
        <v>4627.507</v>
      </c>
      <c r="F80" s="21">
        <f>F81+F82</f>
        <v>3279.3240000000005</v>
      </c>
    </row>
    <row r="81" spans="1:6" s="38" customFormat="1" ht="25.5" customHeight="1">
      <c r="A81" s="18" t="s">
        <v>13</v>
      </c>
      <c r="B81" s="5">
        <f t="shared" si="2"/>
        <v>4581.646</v>
      </c>
      <c r="C81" s="8">
        <f>июль!C81+'август факт'!C81+'сентябрь факт'!C81+'октябрь факт'!C81+'ноябрь факт'!C81+'декабрь факт '!C81</f>
        <v>0</v>
      </c>
      <c r="D81" s="8">
        <f>июль!D81+'август факт'!D81+'сентябрь факт'!D81+'октябрь факт'!D81+'ноябрь факт'!D81+'декабрь факт '!D81</f>
        <v>0</v>
      </c>
      <c r="E81" s="8">
        <f>июль!E81+'август факт'!E81+'сентябрь факт'!E81+'октябрь факт'!E81+'ноябрь факт'!E81+'декабрь факт '!E81</f>
        <v>3644.0779999999995</v>
      </c>
      <c r="F81" s="9">
        <f>июль!F81+'август факт'!F81+'сентябрь факт'!F81+'октябрь факт'!F81+'ноябрь факт'!F81+'декабрь факт '!F81</f>
        <v>937.5680000000001</v>
      </c>
    </row>
    <row r="82" spans="1:6" s="38" customFormat="1" ht="25.5" customHeight="1">
      <c r="A82" s="18" t="s">
        <v>10</v>
      </c>
      <c r="B82" s="5">
        <f t="shared" si="2"/>
        <v>3325.1850000000004</v>
      </c>
      <c r="C82" s="20">
        <f>C83+C84</f>
        <v>0</v>
      </c>
      <c r="D82" s="20">
        <f>D83+D84</f>
        <v>0</v>
      </c>
      <c r="E82" s="20">
        <f>E83+E84</f>
        <v>983.4290000000001</v>
      </c>
      <c r="F82" s="21">
        <f>F83+F84</f>
        <v>2341.7560000000003</v>
      </c>
    </row>
    <row r="83" spans="1:6" s="3" customFormat="1" ht="18.75">
      <c r="A83" s="18" t="s">
        <v>11</v>
      </c>
      <c r="B83" s="5">
        <f t="shared" si="2"/>
        <v>2750.3630000000003</v>
      </c>
      <c r="C83" s="10">
        <f>июль!C83+'август факт'!C83+'сентябрь факт'!C83+'октябрь факт'!C83+'ноябрь факт'!C83+'декабрь факт '!C83</f>
        <v>0</v>
      </c>
      <c r="D83" s="10">
        <f>июль!D83+'август факт'!D83+'сентябрь факт'!D83+'октябрь факт'!D83+'ноябрь факт'!D83+'декабрь факт '!D83</f>
        <v>0</v>
      </c>
      <c r="E83" s="10">
        <f>июль!E83+'август факт'!E83+'сентябрь факт'!E83+'октябрь факт'!E83+'ноябрь факт'!E83+'декабрь факт '!E83</f>
        <v>971.58</v>
      </c>
      <c r="F83" s="17">
        <f>июль!F83+'август факт'!F83+'сентябрь факт'!F83+'октябрь факт'!F83+'ноябрь факт'!F83+'декабрь факт '!F83</f>
        <v>1778.7830000000001</v>
      </c>
    </row>
    <row r="84" spans="1:6" s="3" customFormat="1" ht="18.75">
      <c r="A84" s="18" t="s">
        <v>12</v>
      </c>
      <c r="B84" s="5">
        <f t="shared" si="2"/>
        <v>574.822</v>
      </c>
      <c r="C84" s="10">
        <f>июль!C84+'август факт'!C84+'сентябрь факт'!C84+'октябрь факт'!C84+'ноябрь факт'!C84+'декабрь факт '!C84</f>
        <v>0</v>
      </c>
      <c r="D84" s="10">
        <f>июль!D84+'август факт'!D84+'сентябрь факт'!D84+'октябрь факт'!D84+'ноябрь факт'!D84+'декабрь факт '!D84</f>
        <v>0</v>
      </c>
      <c r="E84" s="10">
        <f>июль!E84+'август факт'!E84+'сентябрь факт'!E84+'октябрь факт'!E84+'ноябрь факт'!E84+'декабрь факт '!E84</f>
        <v>11.849</v>
      </c>
      <c r="F84" s="17">
        <f>июль!F84+'август факт'!F84+'сентябрь факт'!F84+'октябрь факт'!F84+'ноябрь факт'!F84+'декабрь факт '!F84</f>
        <v>562.973</v>
      </c>
    </row>
    <row r="85" spans="1:6" s="3" customFormat="1" ht="18">
      <c r="A85" s="75" t="s">
        <v>5</v>
      </c>
      <c r="B85" s="5">
        <f t="shared" si="2"/>
        <v>18708.448</v>
      </c>
      <c r="C85" s="20">
        <f>C86+C87</f>
        <v>2302.0190000000002</v>
      </c>
      <c r="D85" s="20">
        <f>D86+D87</f>
        <v>0</v>
      </c>
      <c r="E85" s="20">
        <f>E86+E87</f>
        <v>10221.861</v>
      </c>
      <c r="F85" s="21">
        <f>F86+F87</f>
        <v>6184.567999999999</v>
      </c>
    </row>
    <row r="86" spans="1:6" s="3" customFormat="1" ht="18.75">
      <c r="A86" s="18" t="s">
        <v>13</v>
      </c>
      <c r="B86" s="5">
        <f t="shared" si="2"/>
        <v>12019.653</v>
      </c>
      <c r="C86" s="8">
        <f>июль!C86+'август факт'!C86+'сентябрь факт'!C86+'октябрь факт'!C86+'ноябрь факт'!C86+'декабрь факт '!C86</f>
        <v>2302.0190000000002</v>
      </c>
      <c r="D86" s="8">
        <f>июль!D86+'август факт'!D86+'сентябрь факт'!D86+'октябрь факт'!D86+'ноябрь факт'!D86+'декабрь факт '!D86</f>
        <v>0</v>
      </c>
      <c r="E86" s="8">
        <f>июль!E86+'август факт'!E86+'сентябрь факт'!E86+'октябрь факт'!E86+'ноябрь факт'!E86+'декабрь факт '!E86</f>
        <v>7164.58</v>
      </c>
      <c r="F86" s="9">
        <f>июль!F86+'август факт'!F86+'сентябрь факт'!F86+'октябрь факт'!F86+'ноябрь факт'!F86+'декабрь факт '!F86</f>
        <v>2553.054</v>
      </c>
    </row>
    <row r="87" spans="1:6" s="3" customFormat="1" ht="18.75">
      <c r="A87" s="18" t="s">
        <v>10</v>
      </c>
      <c r="B87" s="5">
        <f t="shared" si="2"/>
        <v>6688.795</v>
      </c>
      <c r="C87" s="20">
        <f>C88+C89</f>
        <v>0</v>
      </c>
      <c r="D87" s="20">
        <f>D88+D89</f>
        <v>0</v>
      </c>
      <c r="E87" s="20">
        <f>E88+E89</f>
        <v>3057.281</v>
      </c>
      <c r="F87" s="21">
        <f>F88+F89</f>
        <v>3631.5139999999997</v>
      </c>
    </row>
    <row r="88" spans="1:6" s="3" customFormat="1" ht="18.75">
      <c r="A88" s="18" t="s">
        <v>11</v>
      </c>
      <c r="B88" s="5">
        <f t="shared" si="2"/>
        <v>6636.715</v>
      </c>
      <c r="C88" s="10">
        <f>июль!C88+'август факт'!C88+'сентябрь факт'!C88+'октябрь факт'!C88+'ноябрь факт'!C88+'декабрь факт '!C88</f>
        <v>0</v>
      </c>
      <c r="D88" s="10">
        <f>июль!D88+'август факт'!D88+'сентябрь факт'!D88+'октябрь факт'!D88+'ноябрь факт'!D88+'декабрь факт '!D88</f>
        <v>0</v>
      </c>
      <c r="E88" s="10">
        <f>июль!E88+'август факт'!E88+'сентябрь факт'!E88+'октябрь факт'!E88+'ноябрь факт'!E88+'декабрь факт '!E88</f>
        <v>3005.201</v>
      </c>
      <c r="F88" s="17">
        <f>июль!F88+'август факт'!F88+'сентябрь факт'!F88+'октябрь факт'!F88+'ноябрь факт'!F88+'декабрь факт '!F88</f>
        <v>3631.5139999999997</v>
      </c>
    </row>
    <row r="89" spans="1:6" s="3" customFormat="1" ht="18.75">
      <c r="A89" s="18" t="s">
        <v>12</v>
      </c>
      <c r="B89" s="5">
        <f t="shared" si="2"/>
        <v>52.08</v>
      </c>
      <c r="C89" s="10">
        <f>июль!C89+'август факт'!C89+'сентябрь факт'!C89+'октябрь факт'!C89+'ноябрь факт'!C89+'декабрь факт '!C89</f>
        <v>0</v>
      </c>
      <c r="D89" s="10">
        <f>июль!D89+'август факт'!D89+'сентябрь факт'!D89+'октябрь факт'!D89+'ноябрь факт'!D89+'декабрь факт '!D89</f>
        <v>0</v>
      </c>
      <c r="E89" s="10">
        <f>июль!E89+'август факт'!E89+'сентябрь факт'!E89+'октябрь факт'!E89+'ноябрь факт'!E89+'декабрь факт '!E89</f>
        <v>52.08</v>
      </c>
      <c r="F89" s="17">
        <f>июль!F89+'август факт'!F89+'сентябрь факт'!F89+'октябрь факт'!F89+'ноябрь факт'!F89+'декабрь факт '!F89</f>
        <v>0</v>
      </c>
    </row>
    <row r="90" spans="1:6" s="3" customFormat="1" ht="36">
      <c r="A90" s="75" t="s">
        <v>65</v>
      </c>
      <c r="B90" s="5">
        <f t="shared" si="2"/>
        <v>34782.542</v>
      </c>
      <c r="C90" s="20">
        <f>C91+C92</f>
        <v>0</v>
      </c>
      <c r="D90" s="20">
        <f>D91+D92</f>
        <v>0</v>
      </c>
      <c r="E90" s="20">
        <f>E91+E92</f>
        <v>8025.8</v>
      </c>
      <c r="F90" s="21">
        <f>F91+F92</f>
        <v>26756.742000000002</v>
      </c>
    </row>
    <row r="91" spans="1:6" s="3" customFormat="1" ht="18.75">
      <c r="A91" s="18" t="s">
        <v>13</v>
      </c>
      <c r="B91" s="5">
        <f t="shared" si="2"/>
        <v>17336.426</v>
      </c>
      <c r="C91" s="8">
        <f>июль!C91+'август факт'!C91+'сентябрь факт'!C91+'октябрь факт'!C91+'ноябрь факт'!C91+'декабрь факт '!C91</f>
        <v>0</v>
      </c>
      <c r="D91" s="8">
        <f>июль!D91+'август факт'!D91+'сентябрь факт'!D91+'октябрь факт'!D91+'ноябрь факт'!D91+'декабрь факт '!D91</f>
        <v>0</v>
      </c>
      <c r="E91" s="8">
        <f>июль!E91+'август факт'!E91+'сентябрь факт'!E91+'октябрь факт'!E91+'ноябрь факт'!E91+'декабрь факт '!E91</f>
        <v>7775.885</v>
      </c>
      <c r="F91" s="9">
        <f>июль!F91+'август факт'!F91+'сентябрь факт'!F91+'октябрь факт'!F91+'ноябрь факт'!F91+'декабрь факт '!F91</f>
        <v>9560.541000000001</v>
      </c>
    </row>
    <row r="92" spans="1:6" s="3" customFormat="1" ht="18.75">
      <c r="A92" s="18" t="s">
        <v>10</v>
      </c>
      <c r="B92" s="5">
        <f t="shared" si="2"/>
        <v>17446.116</v>
      </c>
      <c r="C92" s="20">
        <f>C93+C94</f>
        <v>0</v>
      </c>
      <c r="D92" s="20">
        <f>D93+D94</f>
        <v>0</v>
      </c>
      <c r="E92" s="20">
        <f>E93+E94</f>
        <v>249.915</v>
      </c>
      <c r="F92" s="21">
        <f>F93+F94</f>
        <v>17196.201</v>
      </c>
    </row>
    <row r="93" spans="1:6" s="3" customFormat="1" ht="18.75">
      <c r="A93" s="18" t="s">
        <v>11</v>
      </c>
      <c r="B93" s="5">
        <f t="shared" si="2"/>
        <v>3888.0649999999996</v>
      </c>
      <c r="C93" s="10">
        <f>июль!C93+'август факт'!C93+'сентябрь факт'!C93+'октябрь факт'!C93+'ноябрь факт'!C93+'декабрь факт '!C93</f>
        <v>0</v>
      </c>
      <c r="D93" s="10">
        <f>июль!D93+'август факт'!D93+'сентябрь факт'!D93+'октябрь факт'!D93+'ноябрь факт'!D93+'декабрь факт '!D93</f>
        <v>0</v>
      </c>
      <c r="E93" s="10">
        <f>июль!E93+'август факт'!E93+'сентябрь факт'!E93+'октябрь факт'!E93+'ноябрь факт'!E93+'декабрь факт '!E93</f>
        <v>106.763</v>
      </c>
      <c r="F93" s="17">
        <f>июль!F93+'август факт'!F93+'сентябрь факт'!F93+'октябрь факт'!F93+'ноябрь факт'!F93+'декабрь факт '!F93</f>
        <v>3781.3019999999997</v>
      </c>
    </row>
    <row r="94" spans="1:6" s="3" customFormat="1" ht="19.5" thickBot="1">
      <c r="A94" s="19" t="s">
        <v>12</v>
      </c>
      <c r="B94" s="34">
        <f t="shared" si="2"/>
        <v>13558.051000000001</v>
      </c>
      <c r="C94" s="24">
        <f>июль!C94+'август факт'!C94+'сентябрь факт'!C94+'октябрь факт'!C94+'ноябрь факт'!C94+'декабрь факт '!C94</f>
        <v>0</v>
      </c>
      <c r="D94" s="24">
        <f>июль!D94+'август факт'!D94+'сентябрь факт'!D94+'октябрь факт'!D94+'ноябрь факт'!D94+'декабрь факт '!D94</f>
        <v>0</v>
      </c>
      <c r="E94" s="24">
        <f>июль!E94+'август факт'!E94+'сентябрь факт'!E94+'октябрь факт'!E94+'ноябрь факт'!E94+'декабрь факт '!E94</f>
        <v>143.152</v>
      </c>
      <c r="F94" s="25">
        <f>июль!F94+'август факт'!F94+'сентябрь факт'!F94+'октябрь факт'!F94+'ноябрь факт'!F94+'декабрь факт '!F94</f>
        <v>13414.899000000001</v>
      </c>
    </row>
    <row r="95" spans="1:6" s="3" customFormat="1" ht="18">
      <c r="A95" s="54" t="s">
        <v>21</v>
      </c>
      <c r="B95" s="55">
        <f t="shared" si="2"/>
        <v>2108.629</v>
      </c>
      <c r="C95" s="32">
        <f>июль!C95+'август факт'!C95+'сентябрь факт'!C95+'октябрь факт'!C95+'ноябрь факт'!C95+'декабрь факт '!C95</f>
        <v>0</v>
      </c>
      <c r="D95" s="32">
        <f>июль!D95+'август факт'!D95+'сентябрь факт'!D95+'октябрь факт'!D95+'ноябрь факт'!D95+'декабрь факт '!D95</f>
        <v>0</v>
      </c>
      <c r="E95" s="32">
        <f>июль!E95+'август факт'!E95+'сентябрь факт'!E95+'октябрь факт'!E95+'ноябрь факт'!E95+'декабрь факт '!E95</f>
        <v>2108.629</v>
      </c>
      <c r="F95" s="33">
        <f>июль!F95+'август факт'!F95+'сентябрь факт'!F95+'октябрь факт'!F95+'ноябрь факт'!F95+'декабрь факт '!F95</f>
        <v>0</v>
      </c>
    </row>
    <row r="96" spans="1:6" s="3" customFormat="1" ht="18">
      <c r="A96" s="31" t="s">
        <v>22</v>
      </c>
      <c r="B96" s="5">
        <f t="shared" si="2"/>
        <v>539.023</v>
      </c>
      <c r="C96" s="8">
        <f>июль!C96+'август факт'!C96+'сентябрь факт'!C96+'октябрь факт'!C96+'ноябрь факт'!C96+'декабрь факт '!C96</f>
        <v>0</v>
      </c>
      <c r="D96" s="8">
        <f>июль!D96+'август факт'!D96+'сентябрь факт'!D96+'октябрь факт'!D96+'ноябрь факт'!D96+'декабрь факт '!D96</f>
        <v>0</v>
      </c>
      <c r="E96" s="8">
        <f>июль!E96+'август факт'!E96+'сентябрь факт'!E96+'октябрь факт'!E96+'ноябрь факт'!E96+'декабрь факт '!E96</f>
        <v>539.023</v>
      </c>
      <c r="F96" s="9">
        <f>июль!F96+'август факт'!F96+'сентябрь факт'!F96+'октябрь факт'!F96+'ноябрь факт'!F96+'декабрь факт '!F96</f>
        <v>0</v>
      </c>
    </row>
    <row r="97" spans="1:6" s="3" customFormat="1" ht="18">
      <c r="A97" s="31" t="s">
        <v>27</v>
      </c>
      <c r="B97" s="5">
        <f t="shared" si="2"/>
        <v>4309.126</v>
      </c>
      <c r="C97" s="8">
        <f>июль!C97+'август факт'!C97+'сентябрь факт'!C97+'октябрь факт'!C97+'ноябрь факт'!C97+'декабрь факт '!C97</f>
        <v>0</v>
      </c>
      <c r="D97" s="8">
        <f>июль!D97+'август факт'!D97+'сентябрь факт'!D97+'октябрь факт'!D97+'ноябрь факт'!D97+'декабрь факт '!D97</f>
        <v>0</v>
      </c>
      <c r="E97" s="8">
        <f>июль!E97+'август факт'!E97+'сентябрь факт'!E97+'октябрь факт'!E97+'ноябрь факт'!E97+'декабрь факт '!E97</f>
        <v>3788.4249999999997</v>
      </c>
      <c r="F97" s="9">
        <f>июль!F97+'август факт'!F97+'сентябрь факт'!F97+'октябрь факт'!F97+'ноябрь факт'!F97+'декабрь факт '!F97</f>
        <v>520.701</v>
      </c>
    </row>
    <row r="98" spans="1:6" s="3" customFormat="1" ht="18">
      <c r="A98" s="31" t="s">
        <v>23</v>
      </c>
      <c r="B98" s="5">
        <f t="shared" si="2"/>
        <v>5005.317000000001</v>
      </c>
      <c r="C98" s="8">
        <f>июль!C98+'август факт'!C98+'сентябрь факт'!C98+'октябрь факт'!C98+'ноябрь факт'!C98+'декабрь факт '!C98</f>
        <v>3754.092</v>
      </c>
      <c r="D98" s="8">
        <f>июль!D98+'август факт'!D98+'сентябрь факт'!D98+'октябрь факт'!D98+'ноябрь факт'!D98+'декабрь факт '!D98</f>
        <v>0</v>
      </c>
      <c r="E98" s="8">
        <f>июль!E98+'август факт'!E98+'сентябрь факт'!E98+'октябрь факт'!E98+'ноябрь факт'!E98+'декабрь факт '!E98</f>
        <v>730.2320000000001</v>
      </c>
      <c r="F98" s="9">
        <f>июль!F98+'август факт'!F98+'сентябрь факт'!F98+'октябрь факт'!F98+'ноябрь факт'!F98+'декабрь факт '!F98</f>
        <v>520.993</v>
      </c>
    </row>
    <row r="99" spans="1:6" s="3" customFormat="1" ht="25.5" customHeight="1" thickBot="1">
      <c r="A99" s="120" t="s">
        <v>24</v>
      </c>
      <c r="B99" s="5">
        <f t="shared" si="2"/>
        <v>3039.986</v>
      </c>
      <c r="C99" s="8">
        <f>июль!C99+'август факт'!C99+'сентябрь факт'!C99+'октябрь факт'!C99+'ноябрь факт'!C99+'декабрь факт '!C99</f>
        <v>0</v>
      </c>
      <c r="D99" s="8">
        <f>июль!D99+'август факт'!D99+'сентябрь факт'!D99+'октябрь факт'!D99+'ноябрь факт'!D99+'декабрь факт '!D99</f>
        <v>0</v>
      </c>
      <c r="E99" s="8">
        <f>июль!E99+'август факт'!E99+'сентябрь факт'!E99+'октябрь факт'!E99+'ноябрь факт'!E99+'декабрь факт '!E99</f>
        <v>3039.986</v>
      </c>
      <c r="F99" s="9">
        <f>июль!F99+'август факт'!F99+'сентябрь факт'!F99+'октябрь факт'!F99+'ноябрь факт'!F99+'декабрь факт '!F99</f>
        <v>0</v>
      </c>
    </row>
    <row r="100" spans="1:6" s="3" customFormat="1" ht="18.75" thickBot="1">
      <c r="A100" s="30" t="s">
        <v>66</v>
      </c>
      <c r="B100" s="50">
        <f t="shared" si="2"/>
        <v>732789.2433999999</v>
      </c>
      <c r="C100" s="124">
        <f>C5+C10+C15+C20+C25+C30+C35+C40+C45+C50+C55+C60+C65+C70+C75+C80+C85+C90+C95+C96+C97+C98+C99</f>
        <v>310315.69800000003</v>
      </c>
      <c r="D100" s="124">
        <f>D5+D10+D15+D20+D25+D30+D35+D40+D45+D50+D55+D60+D65+D70+D75+D80+D85+D90+D95+D96+D97+D98+D99</f>
        <v>9462.397</v>
      </c>
      <c r="E100" s="124">
        <f>E5+E10+E15+E20+E25+E30+E35+E40+E45+E50+E55+E60+E65+E70+E75+E80+E85+E90+E95+E96+E97+E98+E99</f>
        <v>185417.9094</v>
      </c>
      <c r="F100" s="51">
        <f>F5+F10+F15+F20+F25+F30+F35+F40+F45+F50+F55+F60+F65+F70+F75+F80+F85+F90+F95+F96+F97+F98+F99</f>
        <v>227593.2389999999</v>
      </c>
    </row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="60" zoomScaleNormal="60" zoomScalePageLayoutView="0" workbookViewId="0" topLeftCell="A1">
      <pane xSplit="1" ySplit="4" topLeftCell="B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07" sqref="D107:E107"/>
    </sheetView>
  </sheetViews>
  <sheetFormatPr defaultColWidth="9.00390625" defaultRowHeight="12.75"/>
  <cols>
    <col min="1" max="1" width="50.125" style="0" customWidth="1"/>
    <col min="2" max="6" width="26.625" style="0" customWidth="1"/>
    <col min="7" max="7" width="21.375" style="0" customWidth="1"/>
    <col min="8" max="8" width="23.625" style="0" customWidth="1"/>
  </cols>
  <sheetData>
    <row r="1" spans="1:6" s="38" customFormat="1" ht="23.25">
      <c r="A1" s="162" t="s">
        <v>32</v>
      </c>
      <c r="B1" s="162"/>
      <c r="C1" s="162"/>
      <c r="D1" s="162"/>
      <c r="E1" s="162"/>
      <c r="F1" s="162"/>
    </row>
    <row r="2" spans="1:6" s="42" customFormat="1" ht="23.25">
      <c r="A2" s="163" t="s">
        <v>51</v>
      </c>
      <c r="B2" s="163"/>
      <c r="C2" s="163"/>
      <c r="D2" s="165"/>
      <c r="E2" s="165"/>
      <c r="F2" s="165"/>
    </row>
    <row r="3" s="3" customFormat="1" ht="18.75" thickBot="1">
      <c r="F3" s="73" t="s">
        <v>31</v>
      </c>
    </row>
    <row r="4" spans="1:6" s="1" customFormat="1" ht="29.25" customHeight="1" thickBot="1">
      <c r="A4" s="43" t="s">
        <v>52</v>
      </c>
      <c r="B4" s="69"/>
      <c r="C4" s="52" t="s">
        <v>0</v>
      </c>
      <c r="D4" s="52" t="s">
        <v>1</v>
      </c>
      <c r="E4" s="52" t="s">
        <v>2</v>
      </c>
      <c r="F4" s="53" t="s">
        <v>3</v>
      </c>
    </row>
    <row r="5" spans="1:6" s="2" customFormat="1" ht="57" customHeight="1">
      <c r="A5" s="108" t="s">
        <v>57</v>
      </c>
      <c r="B5" s="32">
        <f>C5+D5+E5+F5</f>
        <v>1020147.5394000001</v>
      </c>
      <c r="C5" s="97">
        <f>C6+C7</f>
        <v>461735.603</v>
      </c>
      <c r="D5" s="97">
        <f>D6+D7</f>
        <v>14541.405</v>
      </c>
      <c r="E5" s="97">
        <f>E6+E7</f>
        <v>244526.63840000003</v>
      </c>
      <c r="F5" s="98">
        <f>F6+F7</f>
        <v>299343.893</v>
      </c>
    </row>
    <row r="6" spans="1:6" s="2" customFormat="1" ht="27" customHeight="1">
      <c r="A6" s="109" t="s">
        <v>13</v>
      </c>
      <c r="B6" s="8">
        <f aca="true" t="shared" si="0" ref="B6:B55">C6+D6+E6+F6</f>
        <v>830187.8300000001</v>
      </c>
      <c r="C6" s="8">
        <f>'январь факт'!C6+'февраль факт'!C6+'март фaкт'!C6+'апрель факт'!C6+'май факт'!C6+'июнь факт '!C6+июль!C6+'август факт'!C6+'сентябрь факт'!C6+'октябрь факт'!C6+'ноябрь факт'!C6+'декабрь факт '!C6</f>
        <v>461297.543</v>
      </c>
      <c r="D6" s="8">
        <f>'январь факт'!D6+'февраль факт'!D6+'март фaкт'!D6+'апрель факт'!D6+'май факт'!D6+'июнь факт '!D6+июль!D6+'август факт'!D6+'сентябрь факт'!D6+'октябрь факт'!D6+'ноябрь факт'!D6+'декабрь факт '!D6</f>
        <v>14526.685000000001</v>
      </c>
      <c r="E6" s="8">
        <f>'январь факт'!E6+'февраль факт'!E6+'март фaкт'!E6+'апрель факт'!E6+'май факт'!E6+'июнь факт '!E6+июль!E6+'август факт'!E6+'сентябрь факт'!E6+'октябрь факт'!E6+'ноябрь факт'!E6+'декабрь факт '!E6</f>
        <v>234839.60900000003</v>
      </c>
      <c r="F6" s="9">
        <f>'январь факт'!F6+'февраль факт'!F6+'март фaкт'!F6+'апрель факт'!F6+'май факт'!F6+'июнь факт '!F6+июль!F6+'август факт'!F6+'сентябрь факт'!F6+'октябрь факт'!F6+'ноябрь факт'!F6+'декабрь факт '!F6</f>
        <v>119523.99299999997</v>
      </c>
    </row>
    <row r="7" spans="1:6" s="2" customFormat="1" ht="20.25" customHeight="1">
      <c r="A7" s="109" t="s">
        <v>10</v>
      </c>
      <c r="B7" s="8">
        <f t="shared" si="0"/>
        <v>189959.70940000002</v>
      </c>
      <c r="C7" s="20">
        <f>C8+C9</f>
        <v>438.06000000000006</v>
      </c>
      <c r="D7" s="20">
        <f>D8+D9</f>
        <v>14.72</v>
      </c>
      <c r="E7" s="20">
        <f>E8+E9</f>
        <v>9687.029400000001</v>
      </c>
      <c r="F7" s="21">
        <f>F8+F9</f>
        <v>179819.90000000002</v>
      </c>
    </row>
    <row r="8" spans="1:6" s="2" customFormat="1" ht="21.75" customHeight="1">
      <c r="A8" s="109" t="s">
        <v>11</v>
      </c>
      <c r="B8" s="8">
        <f t="shared" si="0"/>
        <v>54269.54940000001</v>
      </c>
      <c r="C8" s="10">
        <f>'январь факт'!C8+'февраль факт'!C8+'март фaкт'!C8+'апрель факт'!C8+'май факт'!C8+'июнь факт '!C8+июль!C8+'август факт'!C8+'сентябрь факт'!C8+'октябрь факт'!C8+'ноябрь факт'!C8+'декабрь факт '!C8</f>
        <v>184.25800000000004</v>
      </c>
      <c r="D8" s="10">
        <f>'январь факт'!D8+'февраль факт'!D8+'март фaкт'!D8+'апрель факт'!D8+'май факт'!D8+'июнь факт '!D8+июль!D8+'август факт'!D8+'сентябрь факт'!D8+'октябрь факт'!D8+'ноябрь факт'!D8+'декабрь факт '!D8</f>
        <v>0</v>
      </c>
      <c r="E8" s="10">
        <f>'январь факт'!E8+'февраль факт'!E8+'март фaкт'!E8+'апрель факт'!E8+'май факт'!E8+'июнь факт '!E8+июль!E8+'август факт'!E8+'сентябрь факт'!E8+'октябрь факт'!E8+'ноябрь факт'!E8+'декабрь факт '!E8</f>
        <v>1783.2914</v>
      </c>
      <c r="F8" s="17">
        <f>'январь факт'!F8+'февраль факт'!F8+'март фaкт'!F8+'апрель факт'!F8+'май факт'!F8+'июнь факт '!F8+июль!F8+'август факт'!F8+'сентябрь факт'!F8+'октябрь факт'!F8+'ноябрь факт'!F8+'декабрь факт '!F8</f>
        <v>52302.00000000001</v>
      </c>
    </row>
    <row r="9" spans="1:6" s="2" customFormat="1" ht="24.75" customHeight="1">
      <c r="A9" s="109" t="s">
        <v>12</v>
      </c>
      <c r="B9" s="8">
        <f t="shared" si="0"/>
        <v>135690.16000000003</v>
      </c>
      <c r="C9" s="10">
        <f>'январь факт'!C9+'февраль факт'!C9+'март фaкт'!C9+'апрель факт'!C9+'май факт'!C9+'июнь факт '!C9+июль!C9+'август факт'!C9+'сентябрь факт'!C9+'октябрь факт'!C9+'ноябрь факт'!C9+'декабрь факт '!C9</f>
        <v>253.802</v>
      </c>
      <c r="D9" s="10">
        <f>'январь факт'!D9+'февраль факт'!D9+'март фaкт'!D9+'апрель факт'!D9+'май факт'!D9+'июнь факт '!D9+июль!D9+'август факт'!D9+'сентябрь факт'!D9+'октябрь факт'!D9+'ноябрь факт'!D9+'декабрь факт '!D9</f>
        <v>14.72</v>
      </c>
      <c r="E9" s="10">
        <f>'январь факт'!E9+'февраль факт'!E9+'март фaкт'!E9+'апрель факт'!E9+'май факт'!E9+'июнь факт '!E9+июль!E9+'август факт'!E9+'сентябрь факт'!E9+'октябрь факт'!E9+'ноябрь факт'!E9+'декабрь факт '!E9</f>
        <v>7903.738000000001</v>
      </c>
      <c r="F9" s="17">
        <f>'январь факт'!F9+'февраль факт'!F9+'март фaкт'!F9+'апрель факт'!F9+'май факт'!F9+'июнь факт '!F9+июль!F9+'август факт'!F9+'сентябрь факт'!F9+'октябрь факт'!F9+'ноябрь факт'!F9+'декабрь факт '!F9</f>
        <v>127517.90000000002</v>
      </c>
    </row>
    <row r="10" spans="1:6" s="2" customFormat="1" ht="47.25" customHeight="1">
      <c r="A10" s="110" t="s">
        <v>58</v>
      </c>
      <c r="B10" s="8">
        <f t="shared" si="0"/>
        <v>69934.02399999999</v>
      </c>
      <c r="C10" s="20">
        <f>C11+C12</f>
        <v>10580.759999999998</v>
      </c>
      <c r="D10" s="20">
        <f>D11+D12</f>
        <v>0</v>
      </c>
      <c r="E10" s="20">
        <f>E11+E12</f>
        <v>24662.873999999996</v>
      </c>
      <c r="F10" s="21">
        <f>F11+F12</f>
        <v>34690.39</v>
      </c>
    </row>
    <row r="11" spans="1:6" s="2" customFormat="1" ht="21.75" customHeight="1">
      <c r="A11" s="109" t="s">
        <v>13</v>
      </c>
      <c r="B11" s="8">
        <f t="shared" si="0"/>
        <v>44096.28599999999</v>
      </c>
      <c r="C11" s="8">
        <f>'январь факт'!C11+'февраль факт'!C11+'март фaкт'!C11+'апрель факт'!C11+'май факт'!C11+'июнь факт '!C11+июль!C11+'август факт'!C11+'сентябрь факт'!C11+'октябрь факт'!C11+'ноябрь факт'!C11+'декабрь факт '!C11</f>
        <v>9549.600999999999</v>
      </c>
      <c r="D11" s="8">
        <f>'январь факт'!D11+'февраль факт'!D11+'март фaкт'!D11+'апрель факт'!D11+'май факт'!D11+'июнь факт '!D11+июль!D11+'август факт'!D11+'сентябрь факт'!D11+'октябрь факт'!D11+'ноябрь факт'!D11+'декабрь факт '!D11</f>
        <v>0</v>
      </c>
      <c r="E11" s="8">
        <f>'январь факт'!E11+'февраль факт'!E11+'март фaкт'!E11+'апрель факт'!E11+'май факт'!E11+'июнь факт '!E11+июль!E11+'август факт'!E11+'сентябрь факт'!E11+'октябрь факт'!E11+'ноябрь факт'!E11+'декабрь факт '!E11</f>
        <v>20609.873999999996</v>
      </c>
      <c r="F11" s="9">
        <f>'январь факт'!F11+'февраль факт'!F11+'март фaкт'!F11+'апрель факт'!F11+'май факт'!F11+'июнь факт '!F11+июль!F11+'август факт'!F11+'сентябрь факт'!F11+'октябрь факт'!F11+'ноябрь факт'!F11+'декабрь факт '!F11</f>
        <v>13936.810999999998</v>
      </c>
    </row>
    <row r="12" spans="1:6" s="2" customFormat="1" ht="19.5" customHeight="1">
      <c r="A12" s="109" t="s">
        <v>10</v>
      </c>
      <c r="B12" s="8">
        <f t="shared" si="0"/>
        <v>25837.737999999998</v>
      </c>
      <c r="C12" s="20">
        <f>C13+C14</f>
        <v>1031.159</v>
      </c>
      <c r="D12" s="20">
        <f>D13+D14</f>
        <v>0</v>
      </c>
      <c r="E12" s="20">
        <f>E13+E14</f>
        <v>4053</v>
      </c>
      <c r="F12" s="21">
        <f>F13+F14</f>
        <v>20753.578999999998</v>
      </c>
    </row>
    <row r="13" spans="1:6" s="2" customFormat="1" ht="17.25" customHeight="1">
      <c r="A13" s="109" t="s">
        <v>11</v>
      </c>
      <c r="B13" s="8">
        <f t="shared" si="0"/>
        <v>14778.838</v>
      </c>
      <c r="C13" s="10">
        <f>'январь факт'!C13+'февраль факт'!C13+'март фaкт'!C13+'апрель факт'!C13+'май факт'!C13+'июнь факт '!C13+июль!C13+'август факт'!C13+'сентябрь факт'!C13+'октябрь факт'!C13+'ноябрь факт'!C13+'декабрь факт '!C13</f>
        <v>0</v>
      </c>
      <c r="D13" s="10">
        <f>'январь факт'!D13+'февраль факт'!D13+'март фaкт'!D13+'апрель факт'!D13+'май факт'!D13+'июнь факт '!D13+июль!D13+'август факт'!D13+'сентябрь факт'!D13+'октябрь факт'!D13+'ноябрь факт'!D13+'декабрь факт '!D13</f>
        <v>0</v>
      </c>
      <c r="E13" s="10">
        <f>'январь факт'!E13+'февраль факт'!E13+'март фaкт'!E13+'апрель факт'!E13+'май факт'!E13+'июнь факт '!E13+июль!E13+'август факт'!E13+'сентябрь факт'!E13+'октябрь факт'!E13+'ноябрь факт'!E13+'декабрь факт '!E13</f>
        <v>726.8229999999999</v>
      </c>
      <c r="F13" s="17">
        <f>'январь факт'!F13+'февраль факт'!F13+'март фaкт'!F13+'апрель факт'!F13+'май факт'!F13+'июнь факт '!F13+июль!F13+'август факт'!F13+'сентябрь факт'!F13+'октябрь факт'!F13+'ноябрь факт'!F13+'декабрь факт '!F13</f>
        <v>14052.015</v>
      </c>
    </row>
    <row r="14" spans="1:6" s="2" customFormat="1" ht="17.25" customHeight="1">
      <c r="A14" s="109" t="s">
        <v>12</v>
      </c>
      <c r="B14" s="8">
        <f t="shared" si="0"/>
        <v>11058.900000000001</v>
      </c>
      <c r="C14" s="10">
        <f>'январь факт'!C14+'февраль факт'!C14+'март фaкт'!C14+'апрель факт'!C14+'май факт'!C14+'июнь факт '!C14+июль!C14+'август факт'!C14+'сентябрь факт'!C14+'октябрь факт'!C14+'ноябрь факт'!C14+'декабрь факт '!C14</f>
        <v>1031.159</v>
      </c>
      <c r="D14" s="10">
        <f>'январь факт'!D14+'февраль факт'!D14+'март фaкт'!D14+'апрель факт'!D14+'май факт'!D14+'июнь факт '!D14+июль!D14+'август факт'!D14+'сентябрь факт'!D14+'октябрь факт'!D14+'ноябрь факт'!D14+'декабрь факт '!D14</f>
        <v>0</v>
      </c>
      <c r="E14" s="10">
        <f>'январь факт'!E14+'февраль факт'!E14+'март фaкт'!E14+'апрель факт'!E14+'май факт'!E14+'июнь факт '!E14+июль!E14+'август факт'!E14+'сентябрь факт'!E14+'октябрь факт'!E14+'ноябрь факт'!E14+'декабрь факт '!E14</f>
        <v>3326.177</v>
      </c>
      <c r="F14" s="17">
        <f>'январь факт'!F14+'февраль факт'!F14+'март фaкт'!F14+'апрель факт'!F14+'май факт'!F14+'июнь факт '!F14+июль!F14+'август факт'!F14+'сентябрь факт'!F14+'октябрь факт'!F14+'ноябрь факт'!F14+'декабрь факт '!F14</f>
        <v>6701.564</v>
      </c>
    </row>
    <row r="15" spans="1:6" s="2" customFormat="1" ht="35.25" customHeight="1">
      <c r="A15" s="110" t="s">
        <v>6</v>
      </c>
      <c r="B15" s="8">
        <f t="shared" si="0"/>
        <v>15339.419</v>
      </c>
      <c r="C15" s="20">
        <f>C16+C17</f>
        <v>15339.419</v>
      </c>
      <c r="D15" s="20">
        <f>D16+D17</f>
        <v>0</v>
      </c>
      <c r="E15" s="20">
        <f>E16+E17</f>
        <v>0</v>
      </c>
      <c r="F15" s="21">
        <f>F16+F17</f>
        <v>0</v>
      </c>
    </row>
    <row r="16" spans="1:6" s="2" customFormat="1" ht="19.5" customHeight="1">
      <c r="A16" s="109" t="s">
        <v>13</v>
      </c>
      <c r="B16" s="8">
        <f t="shared" si="0"/>
        <v>15334.659</v>
      </c>
      <c r="C16" s="8">
        <f>'январь факт'!C16+'февраль факт'!C16+'март фaкт'!C16+'апрель факт'!C16+'май факт'!C16+'июнь факт '!C16+июль!C16+'август факт'!C16+'сентябрь факт'!C16+'октябрь факт'!C16+'ноябрь факт'!C16+'декабрь факт '!C16</f>
        <v>15334.659</v>
      </c>
      <c r="D16" s="8">
        <f>'январь факт'!D16+'февраль факт'!D16+'март фaкт'!D16+'апрель факт'!D16+'май факт'!D16+'июнь факт '!D16+июль!D16+'август факт'!D16+'сентябрь факт'!D16+'октябрь факт'!D16+'ноябрь факт'!D16+'декабрь факт '!D16</f>
        <v>0</v>
      </c>
      <c r="E16" s="8">
        <f>'январь факт'!E16+'февраль факт'!E16+'март фaкт'!E16+'апрель факт'!E16+'май факт'!E16+'июнь факт '!E16+июль!E16+'август факт'!E16+'сентябрь факт'!E16+'октябрь факт'!E16+'ноябрь факт'!E16+'декабрь факт '!E16</f>
        <v>0</v>
      </c>
      <c r="F16" s="9">
        <f>'январь факт'!F16+'февраль факт'!F16+'март фaкт'!F16+'апрель факт'!F16+'май факт'!F16+'июнь факт '!F16+июль!F16+'август факт'!F16+'сентябрь факт'!F16+'октябрь факт'!F16+'ноябрь факт'!F16+'декабрь факт '!F16</f>
        <v>0</v>
      </c>
    </row>
    <row r="17" spans="1:6" s="2" customFormat="1" ht="18" customHeight="1">
      <c r="A17" s="109" t="s">
        <v>10</v>
      </c>
      <c r="B17" s="8">
        <f t="shared" si="0"/>
        <v>4.76</v>
      </c>
      <c r="C17" s="20">
        <f>C18+C19</f>
        <v>4.76</v>
      </c>
      <c r="D17" s="20">
        <f>D18+D19</f>
        <v>0</v>
      </c>
      <c r="E17" s="20">
        <f>E18+E19</f>
        <v>0</v>
      </c>
      <c r="F17" s="21">
        <f>F18+F19</f>
        <v>0</v>
      </c>
    </row>
    <row r="18" spans="1:6" s="2" customFormat="1" ht="19.5" customHeight="1">
      <c r="A18" s="109" t="s">
        <v>11</v>
      </c>
      <c r="B18" s="8">
        <f t="shared" si="0"/>
        <v>4.76</v>
      </c>
      <c r="C18" s="10">
        <f>'январь факт'!C18+'февраль факт'!C18+'март фaкт'!C18+'апрель факт'!C18+'май факт'!C18+'июнь факт '!C18+июль!C18+'август факт'!C18+'сентябрь факт'!C18+'октябрь факт'!C18+'ноябрь факт'!C18+'декабрь факт '!C18</f>
        <v>4.76</v>
      </c>
      <c r="D18" s="10">
        <f>'январь факт'!D18+'февраль факт'!D18+'март фaкт'!D18+'апрель факт'!D18+'май факт'!D18+'июнь факт '!D18+июль!D18+'август факт'!D18+'сентябрь факт'!D18+'октябрь факт'!D18+'ноябрь факт'!D18+'декабрь факт '!D18</f>
        <v>0</v>
      </c>
      <c r="E18" s="10">
        <f>'январь факт'!E18+'февраль факт'!E18+'март фaкт'!E18+'апрель факт'!E18+'май факт'!E18+'июнь факт '!E18+июль!E18+'август факт'!E18+'сентябрь факт'!E18+'октябрь факт'!E18+'ноябрь факт'!E18+'декабрь факт '!E18</f>
        <v>0</v>
      </c>
      <c r="F18" s="17">
        <f>'январь факт'!F18+'февраль факт'!F18+'март фaкт'!F18+'апрель факт'!F18+'май факт'!F18+'июнь факт '!F18+июль!F18+'август факт'!F18+'сентябрь факт'!F18+'октябрь факт'!F18+'ноябрь факт'!F18+'декабрь факт '!F18</f>
        <v>0</v>
      </c>
    </row>
    <row r="19" spans="1:6" s="2" customFormat="1" ht="19.5" customHeight="1">
      <c r="A19" s="109" t="s">
        <v>12</v>
      </c>
      <c r="B19" s="8">
        <f t="shared" si="0"/>
        <v>0</v>
      </c>
      <c r="C19" s="10">
        <f>'январь факт'!C19+'февраль факт'!C19+'март фaкт'!C19+'апрель факт'!C19+'май факт'!C19+'июнь факт '!C19+июль!C19+'август факт'!C19+'сентябрь факт'!C19+'октябрь факт'!C19+'ноябрь факт'!C19+'декабрь факт '!C19</f>
        <v>0</v>
      </c>
      <c r="D19" s="10">
        <f>'январь факт'!D19+'февраль факт'!D19+'март фaкт'!D19+'апрель факт'!D19+'май факт'!D19+'июнь факт '!D19+июль!D19+'август факт'!D19+'сентябрь факт'!D19+'октябрь факт'!D19+'ноябрь факт'!D19+'декабрь факт '!D19</f>
        <v>0</v>
      </c>
      <c r="E19" s="10">
        <f>'январь факт'!E19+'февраль факт'!E19+'март фaкт'!E19+'апрель факт'!E19+'май факт'!E19+'июнь факт '!E19+июль!E19+'август факт'!E19+'сентябрь факт'!E19+'октябрь факт'!E19+'ноябрь факт'!E19+'декабрь факт '!E19</f>
        <v>0</v>
      </c>
      <c r="F19" s="17">
        <f>'январь факт'!F19+'февраль факт'!F19+'март фaкт'!F19+'апрель факт'!F19+'май факт'!F19+'июнь факт '!F19+июль!F19+'август факт'!F19+'сентябрь факт'!F19+'октябрь факт'!F19+'ноябрь факт'!F19+'декабрь факт '!F19</f>
        <v>0</v>
      </c>
    </row>
    <row r="20" spans="1:6" s="2" customFormat="1" ht="51" customHeight="1">
      <c r="A20" s="110" t="s">
        <v>59</v>
      </c>
      <c r="B20" s="8">
        <f t="shared" si="0"/>
        <v>6509.243999999999</v>
      </c>
      <c r="C20" s="20">
        <f>C21+C22</f>
        <v>202.09199999999998</v>
      </c>
      <c r="D20" s="20">
        <f>D21+D22</f>
        <v>5213.523999999999</v>
      </c>
      <c r="E20" s="20">
        <f>E21+E22</f>
        <v>140.822</v>
      </c>
      <c r="F20" s="21">
        <f>F21+F22</f>
        <v>952.8059999999999</v>
      </c>
    </row>
    <row r="21" spans="1:6" s="2" customFormat="1" ht="21.75" customHeight="1">
      <c r="A21" s="109" t="s">
        <v>13</v>
      </c>
      <c r="B21" s="8">
        <f t="shared" si="0"/>
        <v>6286.523999999999</v>
      </c>
      <c r="C21" s="8">
        <f>'январь факт'!C21+'февраль факт'!C21+'март фaкт'!C21+'апрель факт'!C21+'май факт'!C21+'июнь факт '!C21+июль!C21+'август факт'!C21+'сентябрь факт'!C21+'октябрь факт'!C21+'ноябрь факт'!C21+'декабрь факт '!C21</f>
        <v>202.09199999999998</v>
      </c>
      <c r="D21" s="8">
        <f>'январь факт'!D21+'февраль факт'!D21+'март фaкт'!D21+'апрель факт'!D21+'май факт'!D21+'июнь факт '!D21+июль!D21+'август факт'!D21+'сентябрь факт'!D21+'октябрь факт'!D21+'ноябрь факт'!D21+'декабрь факт '!D21</f>
        <v>5213.523999999999</v>
      </c>
      <c r="E21" s="8">
        <f>'январь факт'!E21+'февраль факт'!E21+'март фaкт'!E21+'апрель факт'!E21+'май факт'!E21+'июнь факт '!E21+июль!E21+'август факт'!E21+'сентябрь факт'!E21+'октябрь факт'!E21+'ноябрь факт'!E21+'декабрь факт '!E21</f>
        <v>140.822</v>
      </c>
      <c r="F21" s="9">
        <f>'январь факт'!F21+'февраль факт'!F21+'март фaкт'!F21+'апрель факт'!F21+'май факт'!F21+'июнь факт '!F21+июль!F21+'август факт'!F21+'сентябрь факт'!F21+'октябрь факт'!F21+'ноябрь факт'!F21+'декабрь факт '!F21</f>
        <v>730.0859999999999</v>
      </c>
    </row>
    <row r="22" spans="1:6" s="2" customFormat="1" ht="21" customHeight="1">
      <c r="A22" s="109" t="s">
        <v>10</v>
      </c>
      <c r="B22" s="8">
        <f t="shared" si="0"/>
        <v>222.72</v>
      </c>
      <c r="C22" s="20">
        <f>C23+C24</f>
        <v>0</v>
      </c>
      <c r="D22" s="20">
        <f>D23+D24</f>
        <v>0</v>
      </c>
      <c r="E22" s="20">
        <f>E23+E24</f>
        <v>0</v>
      </c>
      <c r="F22" s="21">
        <f>F23+F24</f>
        <v>222.72</v>
      </c>
    </row>
    <row r="23" spans="1:6" s="2" customFormat="1" ht="21.75" customHeight="1">
      <c r="A23" s="109" t="s">
        <v>11</v>
      </c>
      <c r="B23" s="8">
        <f t="shared" si="0"/>
        <v>222.72</v>
      </c>
      <c r="C23" s="10">
        <f>'январь факт'!C23+'февраль факт'!C23+'март фaкт'!C23+'апрель факт'!C23+'май факт'!C23+'июнь факт '!C23+июль!C23+'август факт'!C23+'сентябрь факт'!C23+'октябрь факт'!C23+'ноябрь факт'!C23+'декабрь факт '!C23</f>
        <v>0</v>
      </c>
      <c r="D23" s="10">
        <f>'январь факт'!D23+'февраль факт'!D23+'март фaкт'!D23+'апрель факт'!D23+'май факт'!D23+'июнь факт '!D23+июль!D23+'август факт'!D23+'сентябрь факт'!D23+'октябрь факт'!D23+'ноябрь факт'!D23+'декабрь факт '!D23</f>
        <v>0</v>
      </c>
      <c r="E23" s="10">
        <f>'январь факт'!E23+'февраль факт'!E23+'март фaкт'!E23+'апрель факт'!E23+'май факт'!E23+'июнь факт '!E23+июль!E23+'август факт'!E23+'сентябрь факт'!E23+'октябрь факт'!E23+'ноябрь факт'!E23+'декабрь факт '!E23</f>
        <v>0</v>
      </c>
      <c r="F23" s="17">
        <f>'январь факт'!F23+'февраль факт'!F23+'март фaкт'!F23+'апрель факт'!F23+'май факт'!F23+'июнь факт '!F23+июль!F23+'август факт'!F23+'сентябрь факт'!F23+'октябрь факт'!F23+'ноябрь факт'!F23+'декабрь факт '!F23</f>
        <v>222.72</v>
      </c>
    </row>
    <row r="24" spans="1:6" s="2" customFormat="1" ht="21" customHeight="1">
      <c r="A24" s="109" t="s">
        <v>12</v>
      </c>
      <c r="B24" s="8">
        <f t="shared" si="0"/>
        <v>0</v>
      </c>
      <c r="C24" s="10">
        <f>'январь факт'!C24+'февраль факт'!C24+'март фaкт'!C24+'апрель факт'!C24+'май факт'!C24+'июнь факт '!C24+июль!C24+'август факт'!C24+'сентябрь факт'!C24+'октябрь факт'!C24+'ноябрь факт'!C24+'декабрь факт '!C24</f>
        <v>0</v>
      </c>
      <c r="D24" s="10">
        <f>'январь факт'!D24+'февраль факт'!D24+'март фaкт'!D24+'апрель факт'!D24+'май факт'!D24+'июнь факт '!D24+июль!D24+'август факт'!D24+'сентябрь факт'!D24+'октябрь факт'!D24+'ноябрь факт'!D24+'декабрь факт '!D24</f>
        <v>0</v>
      </c>
      <c r="E24" s="10">
        <f>'январь факт'!E24+'февраль факт'!E24+'март фaкт'!E24+'апрель факт'!E24+'май факт'!E24+'июнь факт '!E24+июль!E24+'август факт'!E24+'сентябрь факт'!E24+'октябрь факт'!E24+'ноябрь факт'!E24+'декабрь факт '!E24</f>
        <v>0</v>
      </c>
      <c r="F24" s="17">
        <f>'январь факт'!F24+'февраль факт'!F24+'март фaкт'!F24+'апрель факт'!F24+'май факт'!F24+'июнь факт '!F24+июль!F24+'август факт'!F24+'сентябрь факт'!F24+'октябрь факт'!F24+'ноябрь факт'!F24+'декабрь факт '!F24</f>
        <v>0</v>
      </c>
    </row>
    <row r="25" spans="1:6" s="2" customFormat="1" ht="41.25" customHeight="1">
      <c r="A25" s="110" t="s">
        <v>7</v>
      </c>
      <c r="B25" s="8">
        <f t="shared" si="0"/>
        <v>150758.846</v>
      </c>
      <c r="C25" s="20">
        <f>C26+C27</f>
        <v>84457.243</v>
      </c>
      <c r="D25" s="20">
        <f>D26+D27</f>
        <v>0</v>
      </c>
      <c r="E25" s="20">
        <f>E26+E27</f>
        <v>23158.793999999998</v>
      </c>
      <c r="F25" s="21">
        <f>F26+F27</f>
        <v>43142.809</v>
      </c>
    </row>
    <row r="26" spans="1:6" s="2" customFormat="1" ht="19.5" customHeight="1">
      <c r="A26" s="109" t="s">
        <v>13</v>
      </c>
      <c r="B26" s="8">
        <f t="shared" si="0"/>
        <v>121379.129</v>
      </c>
      <c r="C26" s="8">
        <f>'январь факт'!C26+'февраль факт'!C26+'март фaкт'!C26+'апрель факт'!C26+'май факт'!C26+'июнь факт '!C26+июль!C26+'август факт'!C26+'сентябрь факт'!C26+'октябрь факт'!C26+'ноябрь факт'!C26+'декабрь факт '!C26</f>
        <v>84457.243</v>
      </c>
      <c r="D26" s="8">
        <f>'январь факт'!D26+'февраль факт'!D26+'март фaкт'!D26+'апрель факт'!D26+'май факт'!D26+'июнь факт '!D26+июль!D26+'август факт'!D26+'сентябрь факт'!D26+'октябрь факт'!D26+'ноябрь факт'!D26+'декабрь факт '!D26</f>
        <v>0</v>
      </c>
      <c r="E26" s="8">
        <f>'январь факт'!E26+'февраль факт'!E26+'март фaкт'!E26+'апрель факт'!E26+'май факт'!E26+'июнь факт '!E26+июль!E26+'август факт'!E26+'сентябрь факт'!E26+'октябрь факт'!E26+'ноябрь факт'!E26+'декабрь факт '!E26</f>
        <v>22495.142999999996</v>
      </c>
      <c r="F26" s="9">
        <f>'январь факт'!F26+'февраль факт'!F26+'март фaкт'!F26+'апрель факт'!F26+'май факт'!F26+'июнь факт '!F26+июль!F26+'август факт'!F26+'сентябрь факт'!F26+'октябрь факт'!F26+'ноябрь факт'!F26+'декабрь факт '!F26</f>
        <v>14426.742999999999</v>
      </c>
    </row>
    <row r="27" spans="1:6" s="2" customFormat="1" ht="24.75" customHeight="1">
      <c r="A27" s="109" t="s">
        <v>10</v>
      </c>
      <c r="B27" s="8">
        <f t="shared" si="0"/>
        <v>29379.717000000004</v>
      </c>
      <c r="C27" s="20">
        <f>C28+C29</f>
        <v>0</v>
      </c>
      <c r="D27" s="20">
        <f>D28+D29</f>
        <v>0</v>
      </c>
      <c r="E27" s="20">
        <f>E28+E29</f>
        <v>663.651</v>
      </c>
      <c r="F27" s="21">
        <f>F28+F29</f>
        <v>28716.066000000003</v>
      </c>
    </row>
    <row r="28" spans="1:6" s="2" customFormat="1" ht="25.5" customHeight="1">
      <c r="A28" s="109" t="s">
        <v>11</v>
      </c>
      <c r="B28" s="8">
        <f t="shared" si="0"/>
        <v>29018.534000000003</v>
      </c>
      <c r="C28" s="10">
        <f>'январь факт'!C28+'февраль факт'!C28+'март фaкт'!C28+'апрель факт'!C28+'май факт'!C28+'июнь факт '!C28+июль!C28+'август факт'!C28+'сентябрь факт'!C28+'октябрь факт'!C28+'ноябрь факт'!C28+'декабрь факт '!C28</f>
        <v>0</v>
      </c>
      <c r="D28" s="10">
        <f>'январь факт'!D28+'февраль факт'!D28+'март фaкт'!D28+'апрель факт'!D28+'май факт'!D28+'июнь факт '!D28+июль!D28+'август факт'!D28+'сентябрь факт'!D28+'октябрь факт'!D28+'ноябрь факт'!D28+'декабрь факт '!D28</f>
        <v>0</v>
      </c>
      <c r="E28" s="10">
        <f>'январь факт'!E28+'февраль факт'!E28+'март фaкт'!E28+'апрель факт'!E28+'май факт'!E28+'июнь факт '!E28+июль!E28+'август факт'!E28+'сентябрь факт'!E28+'октябрь факт'!E28+'ноябрь факт'!E28+'декабрь факт '!E28</f>
        <v>663.651</v>
      </c>
      <c r="F28" s="17">
        <f>'январь факт'!F28+'февраль факт'!F28+'март фaкт'!F28+'апрель факт'!F28+'май факт'!F28+'июнь факт '!F28+июль!F28+'август факт'!F28+'сентябрь факт'!F28+'октябрь факт'!F28+'ноябрь факт'!F28+'декабрь факт '!F28</f>
        <v>28354.883</v>
      </c>
    </row>
    <row r="29" spans="1:6" s="2" customFormat="1" ht="20.25" customHeight="1">
      <c r="A29" s="109" t="s">
        <v>12</v>
      </c>
      <c r="B29" s="8">
        <f t="shared" si="0"/>
        <v>361.183</v>
      </c>
      <c r="C29" s="10">
        <f>'январь факт'!C29+'февраль факт'!C29+'март фaкт'!C29+'апрель факт'!C29+'май факт'!C29+'июнь факт '!C29+июль!C29+'август факт'!C29+'сентябрь факт'!C29+'октябрь факт'!C29+'ноябрь факт'!C29+'декабрь факт '!C29</f>
        <v>0</v>
      </c>
      <c r="D29" s="10">
        <f>'январь факт'!D29+'февраль факт'!D29+'март фaкт'!D29+'апрель факт'!D29+'май факт'!D29+'июнь факт '!D29+июль!D29+'август факт'!D29+'сентябрь факт'!D29+'октябрь факт'!D29+'ноябрь факт'!D29+'декабрь факт '!D29</f>
        <v>0</v>
      </c>
      <c r="E29" s="10">
        <f>'январь факт'!E29+'февраль факт'!E29+'март фaкт'!E29+'апрель факт'!E29+'май факт'!E29+'июнь факт '!E29+июль!E29+'август факт'!E29+'сентябрь факт'!E29+'октябрь факт'!E29+'ноябрь факт'!E29+'декабрь факт '!E29</f>
        <v>0</v>
      </c>
      <c r="F29" s="17">
        <f>'январь факт'!F29+'февраль факт'!F29+'март фaкт'!F29+'апрель факт'!F29+'май факт'!F29+'июнь факт '!F29+июль!F29+'август факт'!F29+'сентябрь факт'!F29+'октябрь факт'!F29+'ноябрь факт'!F29+'декабрь факт '!F29</f>
        <v>361.183</v>
      </c>
    </row>
    <row r="30" spans="1:6" s="2" customFormat="1" ht="50.25" customHeight="1">
      <c r="A30" s="110" t="s">
        <v>60</v>
      </c>
      <c r="B30" s="8">
        <f t="shared" si="0"/>
        <v>1419.522</v>
      </c>
      <c r="C30" s="20">
        <f>C31+C32</f>
        <v>0</v>
      </c>
      <c r="D30" s="20">
        <f>D31+D32</f>
        <v>0</v>
      </c>
      <c r="E30" s="20">
        <f>E31+E32</f>
        <v>909.1239999999999</v>
      </c>
      <c r="F30" s="21">
        <f>F31+F32</f>
        <v>510.39799999999997</v>
      </c>
    </row>
    <row r="31" spans="1:6" s="2" customFormat="1" ht="22.5" customHeight="1">
      <c r="A31" s="109" t="s">
        <v>13</v>
      </c>
      <c r="B31" s="8">
        <f t="shared" si="0"/>
        <v>1101.5929999999998</v>
      </c>
      <c r="C31" s="8">
        <f>'январь факт'!C31+'февраль факт'!C31+'март фaкт'!C31+'апрель факт'!C31+'май факт'!C31+'июнь факт '!C31+июль!C31+'август факт'!C31+'сентябрь факт'!C31+'октябрь факт'!C31+'ноябрь факт'!C31+'декабрь факт '!C31</f>
        <v>0</v>
      </c>
      <c r="D31" s="8">
        <f>'январь факт'!D31+'февраль факт'!D31+'март фaкт'!D31+'апрель факт'!D31+'май факт'!D31+'июнь факт '!D31+июль!D31+'август факт'!D31+'сентябрь факт'!D31+'октябрь факт'!D31+'ноябрь факт'!D31+'декабрь факт '!D31</f>
        <v>0</v>
      </c>
      <c r="E31" s="8">
        <f>'январь факт'!E31+'февраль факт'!E31+'март фaкт'!E31+'апрель факт'!E31+'май факт'!E31+'июнь факт '!E31+июль!E31+'август факт'!E31+'сентябрь факт'!E31+'октябрь факт'!E31+'ноябрь факт'!E31+'декабрь факт '!E31</f>
        <v>909.1239999999999</v>
      </c>
      <c r="F31" s="9">
        <f>'январь факт'!F31+'февраль факт'!F31+'март фaкт'!F31+'апрель факт'!F31+'май факт'!F31+'июнь факт '!F31+июль!F31+'август факт'!F31+'сентябрь факт'!F31+'октябрь факт'!F31+'ноябрь факт'!F31+'декабрь факт '!F31</f>
        <v>192.469</v>
      </c>
    </row>
    <row r="32" spans="1:6" s="2" customFormat="1" ht="24.75" customHeight="1">
      <c r="A32" s="109" t="s">
        <v>10</v>
      </c>
      <c r="B32" s="8">
        <f t="shared" si="0"/>
        <v>317.929</v>
      </c>
      <c r="C32" s="20">
        <f>C33+C34</f>
        <v>0</v>
      </c>
      <c r="D32" s="20">
        <f>D33+D34</f>
        <v>0</v>
      </c>
      <c r="E32" s="20">
        <f>E33+E34</f>
        <v>0</v>
      </c>
      <c r="F32" s="21">
        <f>F33+F34</f>
        <v>317.929</v>
      </c>
    </row>
    <row r="33" spans="1:6" s="2" customFormat="1" ht="18" customHeight="1">
      <c r="A33" s="109" t="s">
        <v>11</v>
      </c>
      <c r="B33" s="8">
        <f t="shared" si="0"/>
        <v>257.07</v>
      </c>
      <c r="C33" s="10">
        <f>'январь факт'!C33+'февраль факт'!C33+'март фaкт'!C33+'апрель факт'!C33+'май факт'!C33+'июнь факт '!C33+июль!C33+'август факт'!C33+'сентябрь факт'!C33+'октябрь факт'!C33+'ноябрь факт'!C33+'декабрь факт '!C33</f>
        <v>0</v>
      </c>
      <c r="D33" s="10">
        <f>'январь факт'!D33+'февраль факт'!D33+'март фaкт'!D33+'апрель факт'!D33+'май факт'!D33+'июнь факт '!D33+июль!D33+'август факт'!D33+'сентябрь факт'!D33+'октябрь факт'!D33+'ноябрь факт'!D33+'декабрь факт '!D33</f>
        <v>0</v>
      </c>
      <c r="E33" s="10">
        <f>'январь факт'!E33+'февраль факт'!E33+'март фaкт'!E33+'апрель факт'!E33+'май факт'!E33+'июнь факт '!E33+июль!E33+'август факт'!E33+'сентябрь факт'!E33+'октябрь факт'!E33+'ноябрь факт'!E33+'декабрь факт '!E33</f>
        <v>0</v>
      </c>
      <c r="F33" s="17">
        <f>'январь факт'!F33+'февраль факт'!F33+'март фaкт'!F33+'апрель факт'!F33+'май факт'!F33+'июнь факт '!F33+июль!F33+'август факт'!F33+'сентябрь факт'!F33+'октябрь факт'!F33+'ноябрь факт'!F33+'декабрь факт '!F33</f>
        <v>257.07</v>
      </c>
    </row>
    <row r="34" spans="1:6" s="2" customFormat="1" ht="18" customHeight="1">
      <c r="A34" s="109" t="s">
        <v>12</v>
      </c>
      <c r="B34" s="8">
        <f t="shared" si="0"/>
        <v>60.859</v>
      </c>
      <c r="C34" s="10">
        <f>'январь факт'!C34+'февраль факт'!C34+'март фaкт'!C34+'апрель факт'!C34+'май факт'!C34+'июнь факт '!C34+июль!C34+'август факт'!C34+'сентябрь факт'!C34+'октябрь факт'!C34+'ноябрь факт'!C34+'декабрь факт '!C34</f>
        <v>0</v>
      </c>
      <c r="D34" s="10">
        <f>'январь факт'!D34+'февраль факт'!D34+'март фaкт'!D34+'апрель факт'!D34+'май факт'!D34+'июнь факт '!D34+июль!D34+'август факт'!D34+'сентябрь факт'!D34+'октябрь факт'!D34+'ноябрь факт'!D34+'декабрь факт '!D34</f>
        <v>0</v>
      </c>
      <c r="E34" s="10">
        <f>'январь факт'!E34+'февраль факт'!E34+'март фaкт'!E34+'апрель факт'!E34+'май факт'!E34+'июнь факт '!E34+июль!E34+'август факт'!E34+'сентябрь факт'!E34+'октябрь факт'!E34+'ноябрь факт'!E34+'декабрь факт '!E34</f>
        <v>0</v>
      </c>
      <c r="F34" s="17">
        <f>'январь факт'!F34+'февраль факт'!F34+'март фaкт'!F34+'апрель факт'!F34+'май факт'!F34+'июнь факт '!F34+июль!F34+'август факт'!F34+'сентябрь факт'!F34+'октябрь факт'!F34+'ноябрь факт'!F34+'декабрь факт '!F34</f>
        <v>60.859</v>
      </c>
    </row>
    <row r="35" spans="1:6" s="2" customFormat="1" ht="25.5" customHeight="1">
      <c r="A35" s="49" t="s">
        <v>61</v>
      </c>
      <c r="B35" s="8">
        <f t="shared" si="0"/>
        <v>1645.873</v>
      </c>
      <c r="C35" s="20">
        <f>C36+C37</f>
        <v>42.335</v>
      </c>
      <c r="D35" s="20">
        <f>D36+D37</f>
        <v>0</v>
      </c>
      <c r="E35" s="20">
        <f>E36+E37</f>
        <v>26.743</v>
      </c>
      <c r="F35" s="21">
        <f>F36+F37</f>
        <v>1576.795</v>
      </c>
    </row>
    <row r="36" spans="1:6" s="2" customFormat="1" ht="23.25" customHeight="1">
      <c r="A36" s="109" t="s">
        <v>13</v>
      </c>
      <c r="B36" s="8">
        <f t="shared" si="0"/>
        <v>1489.1330000000003</v>
      </c>
      <c r="C36" s="8">
        <f>'январь факт'!C36+'февраль факт'!C36+'март фaкт'!C36+'апрель факт'!C36+'май факт'!C36+'июнь факт '!C36+июль!C36+'август факт'!C36+'сентябрь факт'!C36+'октябрь факт'!C36+'ноябрь факт'!C36+'декабрь факт '!C36</f>
        <v>42.335</v>
      </c>
      <c r="D36" s="8">
        <f>'январь факт'!D36+'февраль факт'!D36+'март фaкт'!D36+'апрель факт'!D36+'май факт'!D36+'июнь факт '!D36+июль!D36+'август факт'!D36+'сентябрь факт'!D36+'октябрь факт'!D36+'ноябрь факт'!D36+'декабрь факт '!D36</f>
        <v>0</v>
      </c>
      <c r="E36" s="8">
        <f>'январь факт'!E36+'февраль факт'!E36+'март фaкт'!E36+'апрель факт'!E36+'май факт'!E36+'июнь факт '!E36+июль!E36+'август факт'!E36+'сентябрь факт'!E36+'октябрь факт'!E36+'ноябрь факт'!E36+'декабрь факт '!E36</f>
        <v>15.652</v>
      </c>
      <c r="F36" s="9">
        <f>'январь факт'!F36+'февраль факт'!F36+'март фaкт'!F36+'апрель факт'!F36+'май факт'!F36+'июнь факт '!F36+июль!F36+'август факт'!F36+'сентябрь факт'!F36+'октябрь факт'!F36+'ноябрь факт'!F36+'декабрь факт '!F36</f>
        <v>1431.1460000000002</v>
      </c>
    </row>
    <row r="37" spans="1:6" s="2" customFormat="1" ht="23.25" customHeight="1">
      <c r="A37" s="109" t="s">
        <v>10</v>
      </c>
      <c r="B37" s="8">
        <f t="shared" si="0"/>
        <v>156.74</v>
      </c>
      <c r="C37" s="20">
        <f>C38+C39</f>
        <v>0</v>
      </c>
      <c r="D37" s="20">
        <f>D38+D39</f>
        <v>0</v>
      </c>
      <c r="E37" s="20">
        <f>E38+E39</f>
        <v>11.091</v>
      </c>
      <c r="F37" s="21">
        <f>F38+F39</f>
        <v>145.649</v>
      </c>
    </row>
    <row r="38" spans="1:6" s="2" customFormat="1" ht="23.25" customHeight="1">
      <c r="A38" s="109" t="s">
        <v>11</v>
      </c>
      <c r="B38" s="8">
        <f t="shared" si="0"/>
        <v>0</v>
      </c>
      <c r="C38" s="10">
        <f>'январь факт'!C38+'февраль факт'!C38+'март фaкт'!C38+'апрель факт'!C38+'май факт'!C38+'июнь факт '!C38+июль!C38+'август факт'!C38+'сентябрь факт'!C38+'октябрь факт'!C38+'ноябрь факт'!C38+'декабрь факт '!C38</f>
        <v>0</v>
      </c>
      <c r="D38" s="10">
        <f>'январь факт'!D38+'февраль факт'!D38+'март фaкт'!D38+'апрель факт'!D38+'май факт'!D38+'июнь факт '!D38+июль!D38+'август факт'!D38+'сентябрь факт'!D38+'октябрь факт'!D38+'ноябрь факт'!D38+'декабрь факт '!D38</f>
        <v>0</v>
      </c>
      <c r="E38" s="10">
        <f>'январь факт'!E38+'февраль факт'!E38+'март фaкт'!E38+'апрель факт'!E38+'май факт'!E38+'июнь факт '!E38+июль!E38+'август факт'!E38+'сентябрь факт'!E38+'октябрь факт'!E38+'ноябрь факт'!E38+'декабрь факт '!E38</f>
        <v>0</v>
      </c>
      <c r="F38" s="17">
        <f>'январь факт'!F38+'февраль факт'!F38+'март фaкт'!F38+'апрель факт'!F38+'май факт'!F38+'июнь факт '!F38+июль!F38+'август факт'!F38+'сентябрь факт'!F38+'октябрь факт'!F38+'ноябрь факт'!F38+'декабрь факт '!F38</f>
        <v>0</v>
      </c>
    </row>
    <row r="39" spans="1:6" s="2" customFormat="1" ht="23.25" customHeight="1">
      <c r="A39" s="109" t="s">
        <v>12</v>
      </c>
      <c r="B39" s="8">
        <f t="shared" si="0"/>
        <v>156.74</v>
      </c>
      <c r="C39" s="10">
        <f>'январь факт'!C39+'февраль факт'!C39+'март фaкт'!C39+'апрель факт'!C39+'май факт'!C39+'июнь факт '!C39+июль!C39+'август факт'!C39+'сентябрь факт'!C39+'октябрь факт'!C39+'ноябрь факт'!C39+'декабрь факт '!C39</f>
        <v>0</v>
      </c>
      <c r="D39" s="10">
        <f>'январь факт'!D39+'февраль факт'!D39+'март фaкт'!D39+'апрель факт'!D39+'май факт'!D39+'июнь факт '!D39+июль!D39+'август факт'!D39+'сентябрь факт'!D39+'октябрь факт'!D39+'ноябрь факт'!D39+'декабрь факт '!D39</f>
        <v>0</v>
      </c>
      <c r="E39" s="10">
        <f>'январь факт'!E39+'февраль факт'!E39+'март фaкт'!E39+'апрель факт'!E39+'май факт'!E39+'июнь факт '!E39+июль!E39+'август факт'!E39+'сентябрь факт'!E39+'октябрь факт'!E39+'ноябрь факт'!E39+'декабрь факт '!E39</f>
        <v>11.091</v>
      </c>
      <c r="F39" s="17">
        <f>'январь факт'!F39+'февраль факт'!F39+'март фaкт'!F39+'апрель факт'!F39+'май факт'!F39+'июнь факт '!F39+июль!F39+'август факт'!F39+'сентябрь факт'!F39+'октябрь факт'!F39+'ноябрь факт'!F39+'декабрь факт '!F39</f>
        <v>145.649</v>
      </c>
    </row>
    <row r="40" spans="1:6" s="2" customFormat="1" ht="42" customHeight="1">
      <c r="A40" s="110" t="s">
        <v>26</v>
      </c>
      <c r="B40" s="8">
        <f t="shared" si="0"/>
        <v>896.819</v>
      </c>
      <c r="C40" s="20">
        <f>C41+C42</f>
        <v>147.468</v>
      </c>
      <c r="D40" s="20">
        <f>D41+D42</f>
        <v>0</v>
      </c>
      <c r="E40" s="20">
        <f>E41+E42</f>
        <v>749.351</v>
      </c>
      <c r="F40" s="21">
        <f>F41+F42</f>
        <v>0</v>
      </c>
    </row>
    <row r="41" spans="1:6" s="2" customFormat="1" ht="19.5" customHeight="1">
      <c r="A41" s="109" t="s">
        <v>13</v>
      </c>
      <c r="B41" s="8">
        <f t="shared" si="0"/>
        <v>896.819</v>
      </c>
      <c r="C41" s="8">
        <f>'январь факт'!C41+'февраль факт'!C41+'март фaкт'!C41+'апрель факт'!C41+'май факт'!C41+'июнь факт '!C41+июль!C41+'август факт'!C41+'сентябрь факт'!C41+'октябрь факт'!C41+'ноябрь факт'!C41+'декабрь факт '!C41</f>
        <v>147.468</v>
      </c>
      <c r="D41" s="8">
        <f>'январь факт'!D41+'февраль факт'!D41+'март фaкт'!D41+'апрель факт'!D41+'май факт'!D41+'июнь факт '!D41+июль!D41+'август факт'!D41+'сентябрь факт'!D41+'октябрь факт'!D41+'ноябрь факт'!D41+'декабрь факт '!D41</f>
        <v>0</v>
      </c>
      <c r="E41" s="8">
        <f>'январь факт'!E41+'февраль факт'!E41+'март фaкт'!E41+'апрель факт'!E41+'май факт'!E41+'июнь факт '!E41+июль!E41+'август факт'!E41+'сентябрь факт'!E41+'октябрь факт'!E41+'ноябрь факт'!E41+'декабрь факт '!E41</f>
        <v>749.351</v>
      </c>
      <c r="F41" s="9">
        <f>'январь факт'!F41+'февраль факт'!F41+'март фaкт'!F41+'апрель факт'!F41+'май факт'!F41+'июнь факт '!F41+июль!F41+'август факт'!F41+'сентябрь факт'!F41+'октябрь факт'!F41+'ноябрь факт'!F41+'декабрь факт '!F41</f>
        <v>0</v>
      </c>
    </row>
    <row r="42" spans="1:6" s="2" customFormat="1" ht="19.5" customHeight="1">
      <c r="A42" s="109" t="s">
        <v>10</v>
      </c>
      <c r="B42" s="8">
        <f t="shared" si="0"/>
        <v>0</v>
      </c>
      <c r="C42" s="20">
        <f>C43+C44</f>
        <v>0</v>
      </c>
      <c r="D42" s="20">
        <f>D43+D44</f>
        <v>0</v>
      </c>
      <c r="E42" s="20">
        <f>E43+E44</f>
        <v>0</v>
      </c>
      <c r="F42" s="21">
        <f>F43+F44</f>
        <v>0</v>
      </c>
    </row>
    <row r="43" spans="1:6" s="2" customFormat="1" ht="19.5" customHeight="1">
      <c r="A43" s="109" t="s">
        <v>11</v>
      </c>
      <c r="B43" s="8">
        <f t="shared" si="0"/>
        <v>0</v>
      </c>
      <c r="C43" s="10">
        <f>'январь факт'!C43+'февраль факт'!C43+'март фaкт'!C43+'апрель факт'!C43+'май факт'!C43+'июнь факт '!C43+июль!C43+'август факт'!C43+'сентябрь факт'!C43+'октябрь факт'!C43+'ноябрь факт'!C43+'декабрь факт '!C43</f>
        <v>0</v>
      </c>
      <c r="D43" s="10">
        <f>'январь факт'!D43+'февраль факт'!D43+'март фaкт'!D43+'апрель факт'!D43+'май факт'!D43+'июнь факт '!D43+июль!D43+'август факт'!D43+'сентябрь факт'!D43+'октябрь факт'!D43+'ноябрь факт'!D43+'декабрь факт '!D43</f>
        <v>0</v>
      </c>
      <c r="E43" s="10">
        <f>'январь факт'!E43+'февраль факт'!E43+'март фaкт'!E43+'апрель факт'!E43+'май факт'!E43+'июнь факт '!E43+июль!E43+'август факт'!E43+'сентябрь факт'!E43+'октябрь факт'!E43+'ноябрь факт'!E43+'декабрь факт '!E43</f>
        <v>0</v>
      </c>
      <c r="F43" s="17">
        <f>'январь факт'!F43+'февраль факт'!F43+'март фaкт'!F43+'апрель факт'!F43+'май факт'!F43+'июнь факт '!F43+июль!F43+'август факт'!F43+'сентябрь факт'!F43+'октябрь факт'!F43+'ноябрь факт'!F43+'декабрь факт '!F43</f>
        <v>0</v>
      </c>
    </row>
    <row r="44" spans="1:6" s="2" customFormat="1" ht="19.5" customHeight="1">
      <c r="A44" s="109" t="s">
        <v>12</v>
      </c>
      <c r="B44" s="8">
        <f t="shared" si="0"/>
        <v>0</v>
      </c>
      <c r="C44" s="10">
        <f>'январь факт'!C44+'февраль факт'!C44+'март фaкт'!C44+'апрель факт'!C44+'май факт'!C44+'июнь факт '!C44+июль!C44+'август факт'!C44+'сентябрь факт'!C44+'октябрь факт'!C44+'ноябрь факт'!C44+'декабрь факт '!C44</f>
        <v>0</v>
      </c>
      <c r="D44" s="10">
        <f>'январь факт'!D44+'февраль факт'!D44+'март фaкт'!D44+'апрель факт'!D44+'май факт'!D44+'июнь факт '!D44+июль!D44+'август факт'!D44+'сентябрь факт'!D44+'октябрь факт'!D44+'ноябрь факт'!D44+'декабрь факт '!D44</f>
        <v>0</v>
      </c>
      <c r="E44" s="10">
        <f>'январь факт'!E44+'февраль факт'!E44+'март фaкт'!E44+'апрель факт'!E44+'май факт'!E44+'июнь факт '!E44+июль!E44+'август факт'!E44+'сентябрь факт'!E44+'октябрь факт'!E44+'ноябрь факт'!E44+'декабрь факт '!E44</f>
        <v>0</v>
      </c>
      <c r="F44" s="17">
        <f>'январь факт'!F44+'февраль факт'!F44+'март фaкт'!F44+'апрель факт'!F44+'май факт'!F44+'июнь факт '!F44+июль!F44+'август факт'!F44+'сентябрь факт'!F44+'октябрь факт'!F44+'ноябрь факт'!F44+'декабрь факт '!F44</f>
        <v>0</v>
      </c>
    </row>
    <row r="45" spans="1:6" s="2" customFormat="1" ht="24.75" customHeight="1">
      <c r="A45" s="111" t="s">
        <v>29</v>
      </c>
      <c r="B45" s="8">
        <f t="shared" si="0"/>
        <v>4283.110000000001</v>
      </c>
      <c r="C45" s="20">
        <f>C46+C47</f>
        <v>0</v>
      </c>
      <c r="D45" s="20">
        <f>D46+D47</f>
        <v>0</v>
      </c>
      <c r="E45" s="20">
        <f>E46+E47</f>
        <v>3305.954</v>
      </c>
      <c r="F45" s="21">
        <f>F46+F47</f>
        <v>977.1560000000001</v>
      </c>
    </row>
    <row r="46" spans="1:6" s="2" customFormat="1" ht="24.75" customHeight="1">
      <c r="A46" s="109" t="s">
        <v>13</v>
      </c>
      <c r="B46" s="8">
        <f t="shared" si="0"/>
        <v>4283.110000000001</v>
      </c>
      <c r="C46" s="8">
        <f>'январь факт'!C46+'февраль факт'!C46+'март фaкт'!C46+'апрель факт'!C46+'май факт'!C46+'июнь факт '!C46+июль!C46+'август факт'!C46+'сентябрь факт'!C46+'октябрь факт'!C46+'ноябрь факт'!C46+'декабрь факт '!C46</f>
        <v>0</v>
      </c>
      <c r="D46" s="8">
        <f>'январь факт'!D46+'февраль факт'!D46+'март фaкт'!D46+'апрель факт'!D46+'май факт'!D46+'июнь факт '!D46+июль!D46+'август факт'!D46+'сентябрь факт'!D46+'октябрь факт'!D46+'ноябрь факт'!D46+'декабрь факт '!D46</f>
        <v>0</v>
      </c>
      <c r="E46" s="8">
        <f>'январь факт'!E46+'февраль факт'!E46+'март фaкт'!E46+'апрель факт'!E46+'май факт'!E46+'июнь факт '!E46+июль!E46+'август факт'!E46+'сентябрь факт'!E46+'октябрь факт'!E46+'ноябрь факт'!E46+'декабрь факт '!E46</f>
        <v>3305.954</v>
      </c>
      <c r="F46" s="9">
        <f>'январь факт'!F46+'февраль факт'!F46+'март фaкт'!F46+'апрель факт'!F46+'май факт'!F46+'июнь факт '!F46+июль!F46+'август факт'!F46+'сентябрь факт'!F46+'октябрь факт'!F46+'ноябрь факт'!F46+'декабрь факт '!F46</f>
        <v>977.1560000000001</v>
      </c>
    </row>
    <row r="47" spans="1:6" s="2" customFormat="1" ht="24.75" customHeight="1">
      <c r="A47" s="109" t="s">
        <v>10</v>
      </c>
      <c r="B47" s="8">
        <f t="shared" si="0"/>
        <v>0</v>
      </c>
      <c r="C47" s="20">
        <f>C48+C49</f>
        <v>0</v>
      </c>
      <c r="D47" s="20">
        <f>D48+D49</f>
        <v>0</v>
      </c>
      <c r="E47" s="20">
        <f>E48+E49</f>
        <v>0</v>
      </c>
      <c r="F47" s="21">
        <f>F48+F49</f>
        <v>0</v>
      </c>
    </row>
    <row r="48" spans="1:6" s="2" customFormat="1" ht="24.75" customHeight="1">
      <c r="A48" s="109" t="s">
        <v>11</v>
      </c>
      <c r="B48" s="8">
        <f t="shared" si="0"/>
        <v>0</v>
      </c>
      <c r="C48" s="10">
        <f>'январь факт'!C48+'февраль факт'!C48+'март фaкт'!C48+'апрель факт'!C48+'май факт'!C48+'июнь факт '!C48+июль!C48+'август факт'!C48+'сентябрь факт'!C48+'октябрь факт'!C48+'ноябрь факт'!C48+'декабрь факт '!C48</f>
        <v>0</v>
      </c>
      <c r="D48" s="10">
        <f>'январь факт'!D48+'февраль факт'!D48+'март фaкт'!D48+'апрель факт'!D48+'май факт'!D48+'июнь факт '!D48+июль!D48+'август факт'!D48+'сентябрь факт'!D48+'октябрь факт'!D48+'ноябрь факт'!D48+'декабрь факт '!D48</f>
        <v>0</v>
      </c>
      <c r="E48" s="10">
        <f>'январь факт'!E48+'февраль факт'!E48+'март фaкт'!E48+'апрель факт'!E48+'май факт'!E48+'июнь факт '!E48+июль!E48+'август факт'!E48+'сентябрь факт'!E48+'октябрь факт'!E48+'ноябрь факт'!E48+'декабрь факт '!E48</f>
        <v>0</v>
      </c>
      <c r="F48" s="17">
        <f>'январь факт'!F48+'февраль факт'!F48+'март фaкт'!F48+'апрель факт'!F48+'май факт'!F48+'июнь факт '!F48+июль!F48+'август факт'!F48+'сентябрь факт'!F48+'октябрь факт'!F48+'ноябрь факт'!F48+'декабрь факт '!F48</f>
        <v>0</v>
      </c>
    </row>
    <row r="49" spans="1:6" s="2" customFormat="1" ht="24.75" customHeight="1">
      <c r="A49" s="109" t="s">
        <v>12</v>
      </c>
      <c r="B49" s="8">
        <f t="shared" si="0"/>
        <v>0</v>
      </c>
      <c r="C49" s="10">
        <f>'январь факт'!C49+'февраль факт'!C49+'март фaкт'!C49+'апрель факт'!C49+'май факт'!C49+'июнь факт '!C49+июль!C49+'август факт'!C49+'сентябрь факт'!C49+'октябрь факт'!C49+'ноябрь факт'!C49+'декабрь факт '!C49</f>
        <v>0</v>
      </c>
      <c r="D49" s="10">
        <f>'январь факт'!D49+'февраль факт'!D49+'март фaкт'!D49+'апрель факт'!D49+'май факт'!D49+'июнь факт '!D49+июль!D49+'август факт'!D49+'сентябрь факт'!D49+'октябрь факт'!D49+'ноябрь факт'!D49+'декабрь факт '!D49</f>
        <v>0</v>
      </c>
      <c r="E49" s="10">
        <f>'январь факт'!E49+'февраль факт'!E49+'март фaкт'!E49+'апрель факт'!E49+'май факт'!E49+'июнь факт '!E49+июль!E49+'август факт'!E49+'сентябрь факт'!E49+'октябрь факт'!E49+'ноябрь факт'!E49+'декабрь факт '!E49</f>
        <v>0</v>
      </c>
      <c r="F49" s="17">
        <f>'январь факт'!F49+'февраль факт'!F49+'март фaкт'!F49+'апрель факт'!F49+'май факт'!F49+'июнь факт '!F49+июль!F49+'август факт'!F49+'сентябрь факт'!F49+'октябрь факт'!F49+'ноябрь факт'!F49+'декабрь факт '!F49</f>
        <v>0</v>
      </c>
    </row>
    <row r="50" spans="1:6" s="2" customFormat="1" ht="24.75" customHeight="1">
      <c r="A50" s="111" t="s">
        <v>4</v>
      </c>
      <c r="B50" s="8">
        <f t="shared" si="0"/>
        <v>9318.683</v>
      </c>
      <c r="C50" s="20">
        <f>C51+C52</f>
        <v>9318.683</v>
      </c>
      <c r="D50" s="20">
        <f>D51+D52</f>
        <v>0</v>
      </c>
      <c r="E50" s="20">
        <f>E51+E52</f>
        <v>0</v>
      </c>
      <c r="F50" s="21">
        <f>F51+F52</f>
        <v>0</v>
      </c>
    </row>
    <row r="51" spans="1:6" s="2" customFormat="1" ht="24.75" customHeight="1">
      <c r="A51" s="109" t="s">
        <v>13</v>
      </c>
      <c r="B51" s="8">
        <f t="shared" si="0"/>
        <v>9318.683</v>
      </c>
      <c r="C51" s="8">
        <f>'январь факт'!C51+'февраль факт'!C51+'март фaкт'!C51+'апрель факт'!C51+'май факт'!C51+'июнь факт '!C51+июль!C51+'август факт'!C51+'сентябрь факт'!C51+'октябрь факт'!C51+'ноябрь факт'!C51+'декабрь факт '!C51</f>
        <v>9318.683</v>
      </c>
      <c r="D51" s="8">
        <f>'январь факт'!D51+'февраль факт'!D51+'март фaкт'!D51+'апрель факт'!D51+'май факт'!D51+'июнь факт '!D51+июль!D51+'август факт'!D51+'сентябрь факт'!D51+'октябрь факт'!D51+'ноябрь факт'!D51+'декабрь факт '!D51</f>
        <v>0</v>
      </c>
      <c r="E51" s="8">
        <f>'январь факт'!E51+'февраль факт'!E51+'март фaкт'!E51+'апрель факт'!E51+'май факт'!E51+'июнь факт '!E51+июль!E51+'август факт'!E51+'сентябрь факт'!E51+'октябрь факт'!E51+'ноябрь факт'!E51+'декабрь факт '!E51</f>
        <v>0</v>
      </c>
      <c r="F51" s="9">
        <f>'январь факт'!F51+'февраль факт'!F51+'март фaкт'!F51+'апрель факт'!F51+'май факт'!F51+'июнь факт '!F51+июль!F51+'август факт'!F51+'сентябрь факт'!F51+'октябрь факт'!F51+'ноябрь факт'!F51+'декабрь факт '!F51</f>
        <v>0</v>
      </c>
    </row>
    <row r="52" spans="1:6" s="2" customFormat="1" ht="24.75" customHeight="1">
      <c r="A52" s="109" t="s">
        <v>10</v>
      </c>
      <c r="B52" s="8">
        <f t="shared" si="0"/>
        <v>0</v>
      </c>
      <c r="C52" s="20">
        <f>C53+C54</f>
        <v>0</v>
      </c>
      <c r="D52" s="20">
        <f>D53+D54</f>
        <v>0</v>
      </c>
      <c r="E52" s="20">
        <f>E53+E54</f>
        <v>0</v>
      </c>
      <c r="F52" s="21">
        <f>F53+F54</f>
        <v>0</v>
      </c>
    </row>
    <row r="53" spans="1:6" s="2" customFormat="1" ht="24.75" customHeight="1">
      <c r="A53" s="109" t="s">
        <v>11</v>
      </c>
      <c r="B53" s="8">
        <f t="shared" si="0"/>
        <v>0</v>
      </c>
      <c r="C53" s="10">
        <f>'январь факт'!C53+'февраль факт'!C53+'март фaкт'!C53+'апрель факт'!C53+'май факт'!C53+'июнь факт '!C53+июль!C53+'август факт'!C53+'сентябрь факт'!C53+'октябрь факт'!C53+'ноябрь факт'!C53+'декабрь факт '!C53</f>
        <v>0</v>
      </c>
      <c r="D53" s="10">
        <f>'январь факт'!D53+'февраль факт'!D53+'март фaкт'!D53+'апрель факт'!D53+'май факт'!D53+'июнь факт '!D53+июль!D53+'август факт'!D53+'сентябрь факт'!D53+'октябрь факт'!D53+'ноябрь факт'!D53+'декабрь факт '!D53</f>
        <v>0</v>
      </c>
      <c r="E53" s="10">
        <f>'январь факт'!E53+'февраль факт'!E53+'март фaкт'!E53+'апрель факт'!E53+'май факт'!E53+'июнь факт '!E53+июль!E53+'август факт'!E53+'сентябрь факт'!E53+'октябрь факт'!E53+'ноябрь факт'!E53+'декабрь факт '!E53</f>
        <v>0</v>
      </c>
      <c r="F53" s="17">
        <f>'январь факт'!F53+'февраль факт'!F53+'март фaкт'!F53+'апрель факт'!F53+'май факт'!F53+'июнь факт '!F53+июль!F53+'август факт'!F53+'сентябрь факт'!F53+'октябрь факт'!F53+'ноябрь факт'!F53+'декабрь факт '!F53</f>
        <v>0</v>
      </c>
    </row>
    <row r="54" spans="1:6" s="2" customFormat="1" ht="24.75" customHeight="1">
      <c r="A54" s="109" t="s">
        <v>12</v>
      </c>
      <c r="B54" s="8">
        <f t="shared" si="0"/>
        <v>0</v>
      </c>
      <c r="C54" s="10">
        <f>'январь факт'!C54+'февраль факт'!C54+'март фaкт'!C54+'апрель факт'!C54+'май факт'!C54+'июнь факт '!C54+июль!C54+'август факт'!C54+'сентябрь факт'!C54+'октябрь факт'!C54+'ноябрь факт'!C54+'декабрь факт '!C54</f>
        <v>0</v>
      </c>
      <c r="D54" s="10">
        <f>'январь факт'!D54+'февраль факт'!D54+'март фaкт'!D54+'апрель факт'!D54+'май факт'!D54+'июнь факт '!D54+июль!D54+'август факт'!D54+'сентябрь факт'!D54+'октябрь факт'!D54+'ноябрь факт'!D54+'декабрь факт '!D54</f>
        <v>0</v>
      </c>
      <c r="E54" s="10">
        <f>'январь факт'!E54+'февраль факт'!E54+'март фaкт'!E54+'апрель факт'!E54+'май факт'!E54+'июнь факт '!E54+июль!E54+'август факт'!E54+'сентябрь факт'!E54+'октябрь факт'!E54+'ноябрь факт'!E54+'декабрь факт '!E54</f>
        <v>0</v>
      </c>
      <c r="F54" s="17">
        <f>'январь факт'!F54+'февраль факт'!F54+'март фaкт'!F54+'апрель факт'!F54+'май факт'!F54+'июнь факт '!F54+июль!F54+'август факт'!F54+'сентябрь факт'!F54+'октябрь факт'!F54+'ноябрь факт'!F54+'декабрь факт '!F54</f>
        <v>0</v>
      </c>
    </row>
    <row r="55" spans="1:6" s="2" customFormat="1" ht="50.25" customHeight="1">
      <c r="A55" s="110" t="s">
        <v>62</v>
      </c>
      <c r="B55" s="8">
        <f t="shared" si="0"/>
        <v>9888.105</v>
      </c>
      <c r="C55" s="20">
        <f>C56+C57</f>
        <v>0</v>
      </c>
      <c r="D55" s="20">
        <f>D56+D57</f>
        <v>0</v>
      </c>
      <c r="E55" s="20">
        <f>E56+E57</f>
        <v>4399.972</v>
      </c>
      <c r="F55" s="21">
        <f>F56+F57</f>
        <v>5488.133</v>
      </c>
    </row>
    <row r="56" spans="1:6" s="2" customFormat="1" ht="26.25" customHeight="1">
      <c r="A56" s="109" t="s">
        <v>13</v>
      </c>
      <c r="B56" s="8">
        <f>F56+E56+D56+C56</f>
        <v>6011.108</v>
      </c>
      <c r="C56" s="8">
        <f>'январь факт'!C56+'февраль факт'!C56+'март фaкт'!C56+'апрель факт'!C56+'май факт'!C56+'июнь факт '!C56+июль!C56+'август факт'!C56+'сентябрь факт'!C56+'октябрь факт'!C56+'ноябрь факт'!C56+'декабрь факт '!C56</f>
        <v>0</v>
      </c>
      <c r="D56" s="8">
        <f>'январь факт'!D56+'февраль факт'!D56+'март фaкт'!D56+'апрель факт'!D56+'май факт'!D56+'июнь факт '!D56+июль!D56+'август факт'!D56+'сентябрь факт'!D56+'октябрь факт'!D56+'ноябрь факт'!D56+'декабрь факт '!D56</f>
        <v>0</v>
      </c>
      <c r="E56" s="8">
        <f>'январь факт'!E56+'февраль факт'!E56+'март фaкт'!E56+'апрель факт'!E56+'май факт'!E56+'июнь факт '!E56+июль!E56+'август факт'!E56+'сентябрь факт'!E56+'октябрь факт'!E56+'ноябрь факт'!E56+'декабрь факт '!E56</f>
        <v>4399.972</v>
      </c>
      <c r="F56" s="9">
        <f>'январь факт'!F56+'февраль факт'!F56+'март фaкт'!F56+'апрель факт'!F56+'май факт'!F56+'июнь факт '!F56+июль!F56+'август факт'!F56+'сентябрь факт'!F56+'октябрь факт'!F56+'ноябрь факт'!F56+'декабрь факт '!F56</f>
        <v>1611.136</v>
      </c>
    </row>
    <row r="57" spans="1:6" s="2" customFormat="1" ht="26.25" customHeight="1">
      <c r="A57" s="109" t="s">
        <v>10</v>
      </c>
      <c r="B57" s="8">
        <f aca="true" t="shared" si="1" ref="B57:B100">C57+D57+E57+F57</f>
        <v>3876.997</v>
      </c>
      <c r="C57" s="20">
        <f>C58+C59</f>
        <v>0</v>
      </c>
      <c r="D57" s="20">
        <f>D58+D59</f>
        <v>0</v>
      </c>
      <c r="E57" s="20">
        <f>E58+E59</f>
        <v>0</v>
      </c>
      <c r="F57" s="21">
        <f>F58+F59</f>
        <v>3876.997</v>
      </c>
    </row>
    <row r="58" spans="1:6" s="2" customFormat="1" ht="26.25" customHeight="1">
      <c r="A58" s="109" t="s">
        <v>11</v>
      </c>
      <c r="B58" s="8">
        <f t="shared" si="1"/>
        <v>3385.982</v>
      </c>
      <c r="C58" s="10">
        <f>'январь факт'!C58+'февраль факт'!C58+'март фaкт'!C58+'апрель факт'!C58+'май факт'!C58+'июнь факт '!C58+июль!C58+'август факт'!C58+'сентябрь факт'!C58+'октябрь факт'!C58+'ноябрь факт'!C58+'декабрь факт '!C58</f>
        <v>0</v>
      </c>
      <c r="D58" s="10">
        <f>'январь факт'!D58+'февраль факт'!D58+'март фaкт'!D58+'апрель факт'!D58+'май факт'!D58+'июнь факт '!D58+июль!D58+'август факт'!D58+'сентябрь факт'!D58+'октябрь факт'!D58+'ноябрь факт'!D58+'декабрь факт '!D58</f>
        <v>0</v>
      </c>
      <c r="E58" s="10">
        <f>'январь факт'!E58+'февраль факт'!E58+'март фaкт'!E58+'апрель факт'!E58+'май факт'!E58+'июнь факт '!E58+июль!E58+'август факт'!E58+'сентябрь факт'!E58+'октябрь факт'!E58+'ноябрь факт'!E58+'декабрь факт '!E58</f>
        <v>0</v>
      </c>
      <c r="F58" s="17">
        <f>'январь факт'!F58+'февраль факт'!F58+'март фaкт'!F58+'апрель факт'!F58+'май факт'!F58+'июнь факт '!F58+июль!F58+'август факт'!F58+'сентябрь факт'!F58+'октябрь факт'!F58+'ноябрь факт'!F58+'декабрь факт '!F58</f>
        <v>3385.982</v>
      </c>
    </row>
    <row r="59" spans="1:6" s="2" customFormat="1" ht="26.25" customHeight="1">
      <c r="A59" s="109" t="s">
        <v>12</v>
      </c>
      <c r="B59" s="8">
        <f t="shared" si="1"/>
        <v>491.015</v>
      </c>
      <c r="C59" s="10">
        <f>'январь факт'!C59+'февраль факт'!C59+'март фaкт'!C59+'апрель факт'!C59+'май факт'!C59+'июнь факт '!C59+июль!C59+'август факт'!C59+'сентябрь факт'!C59+'октябрь факт'!C59+'ноябрь факт'!C59+'декабрь факт '!C59</f>
        <v>0</v>
      </c>
      <c r="D59" s="10">
        <f>'январь факт'!D59+'февраль факт'!D59+'март фaкт'!D59+'апрель факт'!D59+'май факт'!D59+'июнь факт '!D59+июль!D59+'август факт'!D59+'сентябрь факт'!D59+'октябрь факт'!D59+'ноябрь факт'!D59+'декабрь факт '!D59</f>
        <v>0</v>
      </c>
      <c r="E59" s="10">
        <f>'январь факт'!E59+'февраль факт'!E59+'март фaкт'!E59+'апрель факт'!E59+'май факт'!E59+'июнь факт '!E59+июль!E59+'август факт'!E59+'сентябрь факт'!E59+'октябрь факт'!E59+'ноябрь факт'!E59+'декабрь факт '!E59</f>
        <v>0</v>
      </c>
      <c r="F59" s="17">
        <f>'январь факт'!F59+'февраль факт'!F59+'март фaкт'!F59+'апрель факт'!F59+'май факт'!F59+'июнь факт '!F59+июль!F59+'август факт'!F59+'сентябрь факт'!F59+'октябрь факт'!F59+'ноябрь факт'!F59+'декабрь факт '!F59</f>
        <v>491.015</v>
      </c>
    </row>
    <row r="60" spans="1:6" s="2" customFormat="1" ht="24.75" customHeight="1">
      <c r="A60" s="110" t="s">
        <v>28</v>
      </c>
      <c r="B60" s="8">
        <f t="shared" si="1"/>
        <v>24551.959</v>
      </c>
      <c r="C60" s="20">
        <f>C61+C62</f>
        <v>24404.359</v>
      </c>
      <c r="D60" s="20">
        <f>D61+D62</f>
        <v>0</v>
      </c>
      <c r="E60" s="20">
        <f>E61+E62</f>
        <v>0</v>
      </c>
      <c r="F60" s="21">
        <f>F61+F62</f>
        <v>147.60000000000002</v>
      </c>
    </row>
    <row r="61" spans="1:6" s="2" customFormat="1" ht="21.75" customHeight="1">
      <c r="A61" s="109" t="s">
        <v>13</v>
      </c>
      <c r="B61" s="8">
        <f t="shared" si="1"/>
        <v>24551.959</v>
      </c>
      <c r="C61" s="8">
        <f>'январь факт'!C61+'февраль факт'!C61+'март фaкт'!C61+'апрель факт'!C61+'май факт'!C61+'июнь факт '!C61+июль!C61+'август факт'!C61+'сентябрь факт'!C61+'октябрь факт'!C61+'ноябрь факт'!C61+'декабрь факт '!C61</f>
        <v>24404.359</v>
      </c>
      <c r="D61" s="8">
        <f>'январь факт'!D61+'февраль факт'!D61+'март фaкт'!D61+'апрель факт'!D61+'май факт'!D61+'июнь факт '!D61+июль!D61+'август факт'!D61+'сентябрь факт'!D61+'октябрь факт'!D61+'ноябрь факт'!D61+'декабрь факт '!D61</f>
        <v>0</v>
      </c>
      <c r="E61" s="8">
        <f>'январь факт'!E61+'февраль факт'!E61+'март фaкт'!E61+'апрель факт'!E61+'май факт'!E61+'июнь факт '!E61+июль!E61+'август факт'!E61+'сентябрь факт'!E61+'октябрь факт'!E61+'ноябрь факт'!E61+'декабрь факт '!E61</f>
        <v>0</v>
      </c>
      <c r="F61" s="9">
        <f>'январь факт'!F61+'февраль факт'!F61+'март фaкт'!F61+'апрель факт'!F61+'май факт'!F61+'июнь факт '!F61+июль!F61+'август факт'!F61+'сентябрь факт'!F61+'октябрь факт'!F61+'ноябрь факт'!F61+'декабрь факт '!F61</f>
        <v>147.60000000000002</v>
      </c>
    </row>
    <row r="62" spans="1:6" s="2" customFormat="1" ht="16.5" customHeight="1">
      <c r="A62" s="109" t="s">
        <v>10</v>
      </c>
      <c r="B62" s="8">
        <f t="shared" si="1"/>
        <v>0</v>
      </c>
      <c r="C62" s="20">
        <f>C63+C64</f>
        <v>0</v>
      </c>
      <c r="D62" s="20">
        <f>D63+D64</f>
        <v>0</v>
      </c>
      <c r="E62" s="20">
        <f>E63+E64</f>
        <v>0</v>
      </c>
      <c r="F62" s="21">
        <f>F63+F64</f>
        <v>0</v>
      </c>
    </row>
    <row r="63" spans="1:6" s="2" customFormat="1" ht="18" customHeight="1">
      <c r="A63" s="109" t="s">
        <v>11</v>
      </c>
      <c r="B63" s="8">
        <f t="shared" si="1"/>
        <v>0</v>
      </c>
      <c r="C63" s="10">
        <f>'январь факт'!C63+'февраль факт'!C63+'март фaкт'!C63+'апрель факт'!C63+'май факт'!C63+'июнь факт '!C63+июль!C63+'август факт'!C63+'сентябрь факт'!C63+'октябрь факт'!C63+'ноябрь факт'!C63+'декабрь факт '!C63</f>
        <v>0</v>
      </c>
      <c r="D63" s="10">
        <f>'январь факт'!D63+'февраль факт'!D63+'март фaкт'!D63+'апрель факт'!D63+'май факт'!D63+'июнь факт '!D63+июль!D63+'август факт'!D63+'сентябрь факт'!D63+'октябрь факт'!D63+'ноябрь факт'!D63+'декабрь факт '!D63</f>
        <v>0</v>
      </c>
      <c r="E63" s="10">
        <f>'январь факт'!E63+'февраль факт'!E63+'март фaкт'!E63+'апрель факт'!E63+'май факт'!E63+'июнь факт '!E63+июль!E63+'август факт'!E63+'сентябрь факт'!E63+'октябрь факт'!E63+'ноябрь факт'!E63+'декабрь факт '!E63</f>
        <v>0</v>
      </c>
      <c r="F63" s="17">
        <f>'январь факт'!F63+'февраль факт'!F63+'март фaкт'!F63+'апрель факт'!F63+'май факт'!F63+'июнь факт '!F63+июль!F63+'август факт'!F63+'сентябрь факт'!F63+'октябрь факт'!F63+'ноябрь факт'!F63+'декабрь факт '!F63</f>
        <v>0</v>
      </c>
    </row>
    <row r="64" spans="1:6" s="2" customFormat="1" ht="18" customHeight="1">
      <c r="A64" s="109" t="s">
        <v>12</v>
      </c>
      <c r="B64" s="8">
        <f t="shared" si="1"/>
        <v>0</v>
      </c>
      <c r="C64" s="10">
        <f>'январь факт'!C64+'февраль факт'!C64+'март фaкт'!C64+'апрель факт'!C64+'май факт'!C64+'июнь факт '!C64+июль!C64+'август факт'!C64+'сентябрь факт'!C64+'октябрь факт'!C64+'ноябрь факт'!C64+'декабрь факт '!C64</f>
        <v>0</v>
      </c>
      <c r="D64" s="10">
        <f>'январь факт'!D64+'февраль факт'!D64+'март фaкт'!D64+'апрель факт'!D64+'май факт'!D64+'июнь факт '!D64+июль!D64+'август факт'!D64+'сентябрь факт'!D64+'октябрь факт'!D64+'ноябрь факт'!D64+'декабрь факт '!D64</f>
        <v>0</v>
      </c>
      <c r="E64" s="10">
        <f>'январь факт'!E64+'февраль факт'!E64+'март фaкт'!E64+'апрель факт'!E64+'май факт'!E64+'июнь факт '!E64+июль!E64+'август факт'!E64+'сентябрь факт'!E64+'октябрь факт'!E64+'ноябрь факт'!E64+'декабрь факт '!E64</f>
        <v>0</v>
      </c>
      <c r="F64" s="17">
        <f>'январь факт'!F64+'февраль факт'!F64+'март фaкт'!F64+'апрель факт'!F64+'май факт'!F64+'июнь факт '!F64+июль!F64+'август факт'!F64+'сентябрь факт'!F64+'октябрь факт'!F64+'ноябрь факт'!F64+'декабрь факт '!F64</f>
        <v>0</v>
      </c>
    </row>
    <row r="65" spans="1:6" s="2" customFormat="1" ht="24.75" customHeight="1">
      <c r="A65" s="110" t="s">
        <v>63</v>
      </c>
      <c r="B65" s="8">
        <f t="shared" si="1"/>
        <v>0</v>
      </c>
      <c r="C65" s="20">
        <f>C66+C67</f>
        <v>0</v>
      </c>
      <c r="D65" s="20">
        <f>D66+D67</f>
        <v>0</v>
      </c>
      <c r="E65" s="20">
        <f>E66+E67</f>
        <v>0</v>
      </c>
      <c r="F65" s="21">
        <f>F66+F67</f>
        <v>0</v>
      </c>
    </row>
    <row r="66" spans="1:6" s="2" customFormat="1" ht="21.75" customHeight="1">
      <c r="A66" s="109" t="s">
        <v>13</v>
      </c>
      <c r="B66" s="8">
        <f t="shared" si="1"/>
        <v>0</v>
      </c>
      <c r="C66" s="8">
        <f>'январь факт'!C66+'февраль факт'!C66+'март фaкт'!C66+'апрель факт'!C66+'май факт'!C66+'июнь факт '!C66+июль!C66+'август факт'!C66+'сентябрь факт'!C66+'октябрь факт'!C66+'ноябрь факт'!C66+'декабрь факт '!C66</f>
        <v>0</v>
      </c>
      <c r="D66" s="8">
        <f>'январь факт'!D66+'февраль факт'!D66+'март фaкт'!D66+'апрель факт'!D66+'май факт'!D66+'июнь факт '!D66+июль!D66+'август факт'!D66+'сентябрь факт'!D66+'октябрь факт'!D66+'ноябрь факт'!D66+'декабрь факт '!D66</f>
        <v>0</v>
      </c>
      <c r="E66" s="8">
        <f>'январь факт'!E66+'февраль факт'!E66+'март фaкт'!E66+'апрель факт'!E66+'май факт'!E66+'июнь факт '!E66+июль!E66+'август факт'!E66+'сентябрь факт'!E66+'октябрь факт'!E66+'ноябрь факт'!E66+'декабрь факт '!E66</f>
        <v>0</v>
      </c>
      <c r="F66" s="9">
        <f>'январь факт'!F66+'февраль факт'!F66+'март фaкт'!F66+'апрель факт'!F66+'май факт'!F66+'июнь факт '!F66+июль!F66+'август факт'!F66+'сентябрь факт'!F66+'октябрь факт'!F66+'ноябрь факт'!F66+'декабрь факт '!F66</f>
        <v>0</v>
      </c>
    </row>
    <row r="67" spans="1:6" s="2" customFormat="1" ht="18" customHeight="1">
      <c r="A67" s="109" t="s">
        <v>10</v>
      </c>
      <c r="B67" s="8">
        <f t="shared" si="1"/>
        <v>0</v>
      </c>
      <c r="C67" s="20">
        <f>C68+C69</f>
        <v>0</v>
      </c>
      <c r="D67" s="20">
        <f>D68+D69</f>
        <v>0</v>
      </c>
      <c r="E67" s="20">
        <f>E68+E69</f>
        <v>0</v>
      </c>
      <c r="F67" s="21">
        <f>F68+F69</f>
        <v>0</v>
      </c>
    </row>
    <row r="68" spans="1:6" s="2" customFormat="1" ht="19.5" customHeight="1">
      <c r="A68" s="109" t="s">
        <v>11</v>
      </c>
      <c r="B68" s="8">
        <f t="shared" si="1"/>
        <v>0</v>
      </c>
      <c r="C68" s="10">
        <f>'январь факт'!C68+'февраль факт'!C68+'март фaкт'!C68+'апрель факт'!C68+'май факт'!C68+'июнь факт '!C68+июль!C68+'август факт'!C68+'сентябрь факт'!C68+'октябрь факт'!C68+'ноябрь факт'!C68+'декабрь факт '!C68</f>
        <v>0</v>
      </c>
      <c r="D68" s="10">
        <f>'январь факт'!D68+'февраль факт'!D68+'март фaкт'!D68+'апрель факт'!D68+'май факт'!D68+'июнь факт '!D68+июль!D68+'август факт'!D68+'сентябрь факт'!D68+'октябрь факт'!D68+'ноябрь факт'!D68+'декабрь факт '!D68</f>
        <v>0</v>
      </c>
      <c r="E68" s="10">
        <f>'январь факт'!E68+'февраль факт'!E68+'март фaкт'!E68+'апрель факт'!E68+'май факт'!E68+'июнь факт '!E68+июль!E68+'август факт'!E68+'сентябрь факт'!E68+'октябрь факт'!E68+'ноябрь факт'!E68+'декабрь факт '!E68</f>
        <v>0</v>
      </c>
      <c r="F68" s="17">
        <f>'январь факт'!F68+'февраль факт'!F68+'март фaкт'!F68+'апрель факт'!F68+'май факт'!F68+'июнь факт '!F68+июль!F68+'август факт'!F68+'сентябрь факт'!F68+'октябрь факт'!F68+'ноябрь факт'!F68+'декабрь факт '!F68</f>
        <v>0</v>
      </c>
    </row>
    <row r="69" spans="1:6" s="2" customFormat="1" ht="19.5" customHeight="1">
      <c r="A69" s="109" t="s">
        <v>12</v>
      </c>
      <c r="B69" s="8">
        <f t="shared" si="1"/>
        <v>0</v>
      </c>
      <c r="C69" s="10">
        <f>'январь факт'!C69+'февраль факт'!C69+'март фaкт'!C69+'апрель факт'!C69+'май факт'!C69+'июнь факт '!C69+июль!C69+'август факт'!C69+'сентябрь факт'!C69+'октябрь факт'!C69+'ноябрь факт'!C69+'декабрь факт '!C69</f>
        <v>0</v>
      </c>
      <c r="D69" s="10">
        <f>'январь факт'!D69+'февраль факт'!D69+'март фaкт'!D69+'апрель факт'!D69+'май факт'!D69+'июнь факт '!D69+июль!D69+'август факт'!D69+'сентябрь факт'!D69+'октябрь факт'!D69+'ноябрь факт'!D69+'декабрь факт '!D69</f>
        <v>0</v>
      </c>
      <c r="E69" s="10">
        <f>'январь факт'!E69+'февраль факт'!E69+'март фaкт'!E69+'апрель факт'!E69+'май факт'!E69+'июнь факт '!E69+июль!E69+'август факт'!E69+'сентябрь факт'!E69+'октябрь факт'!E69+'ноябрь факт'!E69+'декабрь факт '!E69</f>
        <v>0</v>
      </c>
      <c r="F69" s="17">
        <f>'январь факт'!F69+'февраль факт'!F69+'март фaкт'!F69+'апрель факт'!F69+'май факт'!F69+'июнь факт '!F69+июль!F69+'август факт'!F69+'сентябрь факт'!F69+'октябрь факт'!F69+'ноябрь факт'!F69+'декабрь факт '!F69</f>
        <v>0</v>
      </c>
    </row>
    <row r="70" spans="1:6" s="6" customFormat="1" ht="25.5" customHeight="1">
      <c r="A70" s="110" t="s">
        <v>25</v>
      </c>
      <c r="B70" s="8">
        <f t="shared" si="1"/>
        <v>876.3599999999999</v>
      </c>
      <c r="C70" s="20">
        <f>C71+C72</f>
        <v>0</v>
      </c>
      <c r="D70" s="20">
        <f>D71+D72</f>
        <v>0</v>
      </c>
      <c r="E70" s="20">
        <f>E71+E72</f>
        <v>0</v>
      </c>
      <c r="F70" s="21">
        <f>F71+F72</f>
        <v>876.3599999999999</v>
      </c>
    </row>
    <row r="71" spans="1:6" s="3" customFormat="1" ht="18.75">
      <c r="A71" s="109" t="s">
        <v>13</v>
      </c>
      <c r="B71" s="8">
        <f t="shared" si="1"/>
        <v>160.743</v>
      </c>
      <c r="C71" s="8">
        <f>'январь факт'!C71+'февраль факт'!C71+'март фaкт'!C71+'апрель факт'!C71+'май факт'!C71+'июнь факт '!C71+июль!C71+'август факт'!C71+'сентябрь факт'!C71+'октябрь факт'!C71+'ноябрь факт'!C71+'декабрь факт '!C71</f>
        <v>0</v>
      </c>
      <c r="D71" s="8">
        <f>'январь факт'!D71+'февраль факт'!D71+'март фaкт'!D71+'апрель факт'!D71+'май факт'!D71+'июнь факт '!D71+июль!D71+'август факт'!D71+'сентябрь факт'!D71+'октябрь факт'!D71+'ноябрь факт'!D71+'декабрь факт '!D71</f>
        <v>0</v>
      </c>
      <c r="E71" s="8">
        <f>'январь факт'!E71+'февраль факт'!E71+'март фaкт'!E71+'апрель факт'!E71+'май факт'!E71+'июнь факт '!E71+июль!E71+'август факт'!E71+'сентябрь факт'!E71+'октябрь факт'!E71+'ноябрь факт'!E71+'декабрь факт '!E71</f>
        <v>0</v>
      </c>
      <c r="F71" s="9">
        <f>'январь факт'!F71+'февраль факт'!F71+'март фaкт'!F71+'апрель факт'!F71+'май факт'!F71+'июнь факт '!F71+июль!F71+'август факт'!F71+'сентябрь факт'!F71+'октябрь факт'!F71+'ноябрь факт'!F71+'декабрь факт '!F71</f>
        <v>160.743</v>
      </c>
    </row>
    <row r="72" spans="1:6" s="3" customFormat="1" ht="18.75">
      <c r="A72" s="109" t="s">
        <v>10</v>
      </c>
      <c r="B72" s="8">
        <f t="shared" si="1"/>
        <v>715.617</v>
      </c>
      <c r="C72" s="20">
        <f>C73+C74</f>
        <v>0</v>
      </c>
      <c r="D72" s="20">
        <f>D73+D74</f>
        <v>0</v>
      </c>
      <c r="E72" s="20">
        <f>E73+E74</f>
        <v>0</v>
      </c>
      <c r="F72" s="21">
        <f>F73+F74</f>
        <v>715.617</v>
      </c>
    </row>
    <row r="73" spans="1:6" s="38" customFormat="1" ht="23.25" customHeight="1">
      <c r="A73" s="109" t="s">
        <v>11</v>
      </c>
      <c r="B73" s="8">
        <f t="shared" si="1"/>
        <v>715.617</v>
      </c>
      <c r="C73" s="10">
        <f>'январь факт'!C73+'февраль факт'!C73+'март фaкт'!C73+'апрель факт'!C73+'май факт'!C73+'июнь факт '!C73+июль!C73+'август факт'!C73+'сентябрь факт'!C73+'октябрь факт'!C73+'ноябрь факт'!C73+'декабрь факт '!C73</f>
        <v>0</v>
      </c>
      <c r="D73" s="10">
        <f>'январь факт'!D73+'февраль факт'!D73+'март фaкт'!D73+'апрель факт'!D73+'май факт'!D73+'июнь факт '!D73+июль!D73+'август факт'!D73+'сентябрь факт'!D73+'октябрь факт'!D73+'ноябрь факт'!D73+'декабрь факт '!D73</f>
        <v>0</v>
      </c>
      <c r="E73" s="10">
        <f>'январь факт'!E73+'февраль факт'!E73+'март фaкт'!E73+'апрель факт'!E73+'май факт'!E73+'июнь факт '!E73+июль!E73+'август факт'!E73+'сентябрь факт'!E73+'октябрь факт'!E73+'ноябрь факт'!E73+'декабрь факт '!E73</f>
        <v>0</v>
      </c>
      <c r="F73" s="17">
        <f>'январь факт'!F73+'февраль факт'!F73+'март фaкт'!F73+'апрель факт'!F73+'май факт'!F73+'июнь факт '!F73+июль!F73+'август факт'!F73+'сентябрь факт'!F73+'октябрь факт'!F73+'ноябрь факт'!F73+'декабрь факт '!F73</f>
        <v>715.617</v>
      </c>
    </row>
    <row r="74" spans="1:6" s="38" customFormat="1" ht="23.25" customHeight="1">
      <c r="A74" s="109" t="s">
        <v>12</v>
      </c>
      <c r="B74" s="8">
        <f t="shared" si="1"/>
        <v>0</v>
      </c>
      <c r="C74" s="10">
        <f>'январь факт'!C74+'февраль факт'!C74+'март фaкт'!C74+'апрель факт'!C74+'май факт'!C74+'июнь факт '!C74+июль!C74+'август факт'!C74+'сентябрь факт'!C74+'октябрь факт'!C74+'ноябрь факт'!C74+'декабрь факт '!C74</f>
        <v>0</v>
      </c>
      <c r="D74" s="10">
        <f>'январь факт'!D74+'февраль факт'!D74+'март фaкт'!D74+'апрель факт'!D74+'май факт'!D74+'июнь факт '!D74+июль!D74+'август факт'!D74+'сентябрь факт'!D74+'октябрь факт'!D74+'ноябрь факт'!D74+'декабрь факт '!D74</f>
        <v>0</v>
      </c>
      <c r="E74" s="10">
        <f>'январь факт'!E74+'февраль факт'!E74+'март фaкт'!E74+'апрель факт'!E74+'май факт'!E74+'июнь факт '!E74+июль!E74+'август факт'!E74+'сентябрь факт'!E74+'октябрь факт'!E74+'ноябрь факт'!E74+'декабрь факт '!E74</f>
        <v>0</v>
      </c>
      <c r="F74" s="17">
        <f>'январь факт'!F74+'февраль факт'!F74+'март фaкт'!F74+'апрель факт'!F74+'май факт'!F74+'июнь факт '!F74+июль!F74+'август факт'!F74+'сентябрь факт'!F74+'октябрь факт'!F74+'ноябрь факт'!F74+'декабрь факт '!F74</f>
        <v>0</v>
      </c>
    </row>
    <row r="75" spans="1:6" s="38" customFormat="1" ht="23.25" customHeight="1">
      <c r="A75" s="110" t="s">
        <v>64</v>
      </c>
      <c r="B75" s="8">
        <f t="shared" si="1"/>
        <v>2958.67</v>
      </c>
      <c r="C75" s="20">
        <f>C76+C77</f>
        <v>0</v>
      </c>
      <c r="D75" s="20">
        <f>D76+D77</f>
        <v>0</v>
      </c>
      <c r="E75" s="20">
        <f>E76+E77</f>
        <v>187.19299999999998</v>
      </c>
      <c r="F75" s="21">
        <f>F76+F77</f>
        <v>2771.477</v>
      </c>
    </row>
    <row r="76" spans="1:6" s="38" customFormat="1" ht="23.25" customHeight="1">
      <c r="A76" s="109" t="s">
        <v>13</v>
      </c>
      <c r="B76" s="8">
        <f t="shared" si="1"/>
        <v>815.4390000000001</v>
      </c>
      <c r="C76" s="8">
        <f>'январь факт'!C76+'февраль факт'!C76+'март фaкт'!C76+'апрель факт'!C76+'май факт'!C76+'июнь факт '!C76+июль!C76+'август факт'!C76+'сентябрь факт'!C76+'октябрь факт'!C76+'ноябрь факт'!C76+'декабрь факт '!C76</f>
        <v>0</v>
      </c>
      <c r="D76" s="8">
        <f>'январь факт'!D76+'февраль факт'!D76+'март фaкт'!D76+'апрель факт'!D76+'май факт'!D76+'июнь факт '!D76+июль!D76+'август факт'!D76+'сентябрь факт'!D76+'октябрь факт'!D76+'ноябрь факт'!D76+'декабрь факт '!D76</f>
        <v>0</v>
      </c>
      <c r="E76" s="8">
        <f>'январь факт'!E76+'февраль факт'!E76+'март фaкт'!E76+'апрель факт'!E76+'май факт'!E76+'июнь факт '!E76+июль!E76+'август факт'!E76+'сентябрь факт'!E76+'октябрь факт'!E76+'ноябрь факт'!E76+'декабрь факт '!E76</f>
        <v>185.671</v>
      </c>
      <c r="F76" s="9">
        <f>'январь факт'!F76+'февраль факт'!F76+'март фaкт'!F76+'апрель факт'!F76+'май факт'!F76+'июнь факт '!F76+июль!F76+'август факт'!F76+'сентябрь факт'!F76+'октябрь факт'!F76+'ноябрь факт'!F76+'декабрь факт '!F76</f>
        <v>629.768</v>
      </c>
    </row>
    <row r="77" spans="1:6" s="38" customFormat="1" ht="23.25" customHeight="1">
      <c r="A77" s="109" t="s">
        <v>10</v>
      </c>
      <c r="B77" s="8">
        <f t="shared" si="1"/>
        <v>2143.2309999999998</v>
      </c>
      <c r="C77" s="20">
        <f>C78+C79</f>
        <v>0</v>
      </c>
      <c r="D77" s="20">
        <f>D78+D79</f>
        <v>0</v>
      </c>
      <c r="E77" s="20">
        <f>E78+E79</f>
        <v>1.522</v>
      </c>
      <c r="F77" s="21">
        <f>F78+F79</f>
        <v>2141.709</v>
      </c>
    </row>
    <row r="78" spans="1:6" s="38" customFormat="1" ht="23.25" customHeight="1">
      <c r="A78" s="109" t="s">
        <v>11</v>
      </c>
      <c r="B78" s="8">
        <f t="shared" si="1"/>
        <v>164.454</v>
      </c>
      <c r="C78" s="10">
        <f>'январь факт'!C78+'февраль факт'!C78+'март фaкт'!C78+'апрель факт'!C78+'май факт'!C78+'июнь факт '!C78+июль!C78+'август факт'!C78+'сентябрь факт'!C78+'октябрь факт'!C78+'ноябрь факт'!C78+'декабрь факт '!C78</f>
        <v>0</v>
      </c>
      <c r="D78" s="10">
        <f>'январь факт'!D78+'февраль факт'!D78+'март фaкт'!D78+'апрель факт'!D78+'май факт'!D78+'июнь факт '!D78+июль!D78+'август факт'!D78+'сентябрь факт'!D78+'октябрь факт'!D78+'ноябрь факт'!D78+'декабрь факт '!D78</f>
        <v>0</v>
      </c>
      <c r="E78" s="10">
        <f>'январь факт'!E78+'февраль факт'!E78+'март фaкт'!E78+'апрель факт'!E78+'май факт'!E78+'июнь факт '!E78+июль!E78+'август факт'!E78+'сентябрь факт'!E78+'октябрь факт'!E78+'ноябрь факт'!E78+'декабрь факт '!E78</f>
        <v>0</v>
      </c>
      <c r="F78" s="17">
        <f>'январь факт'!F78+'февраль факт'!F78+'март фaкт'!F78+'апрель факт'!F78+'май факт'!F78+'июнь факт '!F78+июль!F78+'август факт'!F78+'сентябрь факт'!F78+'октябрь факт'!F78+'ноябрь факт'!F78+'декабрь факт '!F78</f>
        <v>164.454</v>
      </c>
    </row>
    <row r="79" spans="1:6" s="38" customFormat="1" ht="23.25" customHeight="1">
      <c r="A79" s="109" t="s">
        <v>12</v>
      </c>
      <c r="B79" s="8">
        <f t="shared" si="1"/>
        <v>1978.7769999999998</v>
      </c>
      <c r="C79" s="10">
        <f>'январь факт'!C79+'февраль факт'!C79+'март фaкт'!C79+'апрель факт'!C79+'май факт'!C79+'июнь факт '!C79+июль!C79+'август факт'!C79+'сентябрь факт'!C79+'октябрь факт'!C79+'ноябрь факт'!C79+'декабрь факт '!C79</f>
        <v>0</v>
      </c>
      <c r="D79" s="10">
        <f>'январь факт'!D79+'февраль факт'!D79+'март фaкт'!D79+'апрель факт'!D79+'май факт'!D79+'июнь факт '!D79+июль!D79+'август факт'!D79+'сентябрь факт'!D79+'октябрь факт'!D79+'ноябрь факт'!D79+'декабрь факт '!D79</f>
        <v>0</v>
      </c>
      <c r="E79" s="10">
        <f>'январь факт'!E79+'февраль факт'!E79+'март фaкт'!E79+'апрель факт'!E79+'май факт'!E79+'июнь факт '!E79+июль!E79+'август факт'!E79+'сентябрь факт'!E79+'октябрь факт'!E79+'ноябрь факт'!E79+'декабрь факт '!E79</f>
        <v>1.522</v>
      </c>
      <c r="F79" s="17">
        <f>'январь факт'!F79+'февраль факт'!F79+'март фaкт'!F79+'апрель факт'!F79+'май факт'!F79+'июнь факт '!F79+июль!F79+'август факт'!F79+'сентябрь факт'!F79+'октябрь факт'!F79+'ноябрь факт'!F79+'декабрь факт '!F79</f>
        <v>1977.2549999999999</v>
      </c>
    </row>
    <row r="80" spans="1:6" ht="18">
      <c r="A80" s="110" t="s">
        <v>8</v>
      </c>
      <c r="B80" s="8">
        <f t="shared" si="1"/>
        <v>14446.97</v>
      </c>
      <c r="C80" s="20">
        <f>C81+C82</f>
        <v>0</v>
      </c>
      <c r="D80" s="20">
        <f>D81+D82</f>
        <v>0</v>
      </c>
      <c r="E80" s="20">
        <f>E81+E82</f>
        <v>7794.409</v>
      </c>
      <c r="F80" s="21">
        <f>F81+F82</f>
        <v>6652.561</v>
      </c>
    </row>
    <row r="81" spans="1:6" ht="18.75">
      <c r="A81" s="109" t="s">
        <v>13</v>
      </c>
      <c r="B81" s="8">
        <f t="shared" si="1"/>
        <v>7905.755999999999</v>
      </c>
      <c r="C81" s="8">
        <f>'январь факт'!C81+'февраль факт'!C81+'март фaкт'!C81+'апрель факт'!C81+'май факт'!C81+'июнь факт '!C81+июль!C81+'август факт'!C81+'сентябрь факт'!C81+'октябрь факт'!C81+'ноябрь факт'!C81+'декабрь факт '!C81</f>
        <v>0</v>
      </c>
      <c r="D81" s="8">
        <f>'январь факт'!D81+'февраль факт'!D81+'март фaкт'!D81+'апрель факт'!D81+'май факт'!D81+'июнь факт '!D81+июль!D81+'август факт'!D81+'сентябрь факт'!D81+'октябрь факт'!D81+'ноябрь факт'!D81+'декабрь факт '!D81</f>
        <v>0</v>
      </c>
      <c r="E81" s="8">
        <f>'январь факт'!E81+'февраль факт'!E81+'март фaкт'!E81+'апрель факт'!E81+'май факт'!E81+'июнь факт '!E81+июль!E81+'август факт'!E81+'сентябрь факт'!E81+'октябрь факт'!E81+'ноябрь факт'!E81+'декабрь факт '!E81</f>
        <v>6081.221</v>
      </c>
      <c r="F81" s="9">
        <f>'январь факт'!F81+'февраль факт'!F81+'март фaкт'!F81+'апрель факт'!F81+'май факт'!F81+'июнь факт '!F81+июль!F81+'август факт'!F81+'сентябрь факт'!F81+'октябрь факт'!F81+'ноябрь факт'!F81+'декабрь факт '!F81</f>
        <v>1824.535</v>
      </c>
    </row>
    <row r="82" spans="1:6" ht="18.75">
      <c r="A82" s="109" t="s">
        <v>10</v>
      </c>
      <c r="B82" s="8">
        <f t="shared" si="1"/>
        <v>6541.214</v>
      </c>
      <c r="C82" s="20">
        <f>C83+C84</f>
        <v>0</v>
      </c>
      <c r="D82" s="20">
        <f>D83+D84</f>
        <v>0</v>
      </c>
      <c r="E82" s="20">
        <f>E83+E84</f>
        <v>1713.188</v>
      </c>
      <c r="F82" s="21">
        <f>F83+F84</f>
        <v>4828.026</v>
      </c>
    </row>
    <row r="83" spans="1:6" ht="18.75">
      <c r="A83" s="109" t="s">
        <v>11</v>
      </c>
      <c r="B83" s="8">
        <f t="shared" si="1"/>
        <v>5349.539</v>
      </c>
      <c r="C83" s="10">
        <f>'январь факт'!C83+'февраль факт'!C83+'март фaкт'!C83+'апрель факт'!C83+'май факт'!C83+'июнь факт '!C83+июль!C83+'август факт'!C83+'сентябрь факт'!C83+'октябрь факт'!C83+'ноябрь факт'!C83+'декабрь факт '!C83</f>
        <v>0</v>
      </c>
      <c r="D83" s="10">
        <f>'январь факт'!D83+'февраль факт'!D83+'март фaкт'!D83+'апрель факт'!D83+'май факт'!D83+'июнь факт '!D83+июль!D83+'август факт'!D83+'сентябрь факт'!D83+'октябрь факт'!D83+'ноябрь факт'!D83+'декабрь факт '!D83</f>
        <v>0</v>
      </c>
      <c r="E83" s="10">
        <f>'январь факт'!E83+'февраль факт'!E83+'март фaкт'!E83+'апрель факт'!E83+'май факт'!E83+'июнь факт '!E83+июль!E83+'август факт'!E83+'сентябрь факт'!E83+'октябрь факт'!E83+'ноябрь факт'!E83+'декабрь факт '!E83</f>
        <v>1691.335</v>
      </c>
      <c r="F83" s="17">
        <f>'январь факт'!F83+'февраль факт'!F83+'март фaкт'!F83+'апрель факт'!F83+'май факт'!F83+'июнь факт '!F83+июль!F83+'август факт'!F83+'сентябрь факт'!F83+'октябрь факт'!F83+'ноябрь факт'!F83+'декабрь факт '!F83</f>
        <v>3658.2039999999997</v>
      </c>
    </row>
    <row r="84" spans="1:6" ht="18.75">
      <c r="A84" s="109" t="s">
        <v>12</v>
      </c>
      <c r="B84" s="8">
        <f t="shared" si="1"/>
        <v>1191.675</v>
      </c>
      <c r="C84" s="10">
        <f>'январь факт'!C84+'февраль факт'!C84+'март фaкт'!C84+'апрель факт'!C84+'май факт'!C84+'июнь факт '!C84+июль!C84+'август факт'!C84+'сентябрь факт'!C84+'октябрь факт'!C84+'ноябрь факт'!C84+'декабрь факт '!C84</f>
        <v>0</v>
      </c>
      <c r="D84" s="10">
        <f>'январь факт'!D84+'февраль факт'!D84+'март фaкт'!D84+'апрель факт'!D84+'май факт'!D84+'июнь факт '!D84+июль!D84+'август факт'!D84+'сентябрь факт'!D84+'октябрь факт'!D84+'ноябрь факт'!D84+'декабрь факт '!D84</f>
        <v>0</v>
      </c>
      <c r="E84" s="10">
        <f>'январь факт'!E84+'февраль факт'!E84+'март фaкт'!E84+'апрель факт'!E84+'май факт'!E84+'июнь факт '!E84+июль!E84+'август факт'!E84+'сентябрь факт'!E84+'октябрь факт'!E84+'ноябрь факт'!E84+'декабрь факт '!E84</f>
        <v>21.853</v>
      </c>
      <c r="F84" s="17">
        <f>'январь факт'!F84+'февраль факт'!F84+'март фaкт'!F84+'апрель факт'!F84+'май факт'!F84+'июнь факт '!F84+июль!F84+'август факт'!F84+'сентябрь факт'!F84+'октябрь факт'!F84+'ноябрь факт'!F84+'декабрь факт '!F84</f>
        <v>1169.822</v>
      </c>
    </row>
    <row r="85" spans="1:6" ht="18">
      <c r="A85" s="110" t="s">
        <v>5</v>
      </c>
      <c r="B85" s="8">
        <f t="shared" si="1"/>
        <v>36423.101</v>
      </c>
      <c r="C85" s="20">
        <f>C86+C87</f>
        <v>4810.410999999999</v>
      </c>
      <c r="D85" s="20">
        <f>D86+D87</f>
        <v>0</v>
      </c>
      <c r="E85" s="20">
        <f>E86+E87</f>
        <v>19756.749000000003</v>
      </c>
      <c r="F85" s="21">
        <f>F86+F87</f>
        <v>11855.941</v>
      </c>
    </row>
    <row r="86" spans="1:6" ht="18.75">
      <c r="A86" s="109" t="s">
        <v>13</v>
      </c>
      <c r="B86" s="8">
        <f t="shared" si="1"/>
        <v>23340.998</v>
      </c>
      <c r="C86" s="8">
        <f>'январь факт'!C86+'февраль факт'!C86+'март фaкт'!C86+'апрель факт'!C86+'май факт'!C86+'июнь факт '!C86+июль!C86+'август факт'!C86+'сентябрь факт'!C86+'октябрь факт'!C86+'ноябрь факт'!C86+'декабрь факт '!C86</f>
        <v>4810.410999999999</v>
      </c>
      <c r="D86" s="8">
        <f>'январь факт'!D86+'февраль факт'!D86+'март фaкт'!D86+'апрель факт'!D86+'май факт'!D86+'июнь факт '!D86+июль!D86+'август факт'!D86+'сентябрь факт'!D86+'октябрь факт'!D86+'ноябрь факт'!D86+'декабрь факт '!D86</f>
        <v>0</v>
      </c>
      <c r="E86" s="8">
        <f>'январь факт'!E86+'февраль факт'!E86+'март фaкт'!E86+'апрель факт'!E86+'май факт'!E86+'июнь факт '!E86+июль!E86+'август факт'!E86+'сентябрь факт'!E86+'октябрь факт'!E86+'ноябрь факт'!E86+'декабрь факт '!E86</f>
        <v>13463.44</v>
      </c>
      <c r="F86" s="9">
        <f>'январь факт'!F86+'февраль факт'!F86+'март фaкт'!F86+'апрель факт'!F86+'май факт'!F86+'июнь факт '!F86+июль!F86+'август факт'!F86+'сентябрь факт'!F86+'октябрь факт'!F86+'ноябрь факт'!F86+'декабрь факт '!F86</f>
        <v>5067.147</v>
      </c>
    </row>
    <row r="87" spans="1:6" ht="18.75">
      <c r="A87" s="109" t="s">
        <v>10</v>
      </c>
      <c r="B87" s="8">
        <f t="shared" si="1"/>
        <v>13082.103000000003</v>
      </c>
      <c r="C87" s="20">
        <f>C88+C89</f>
        <v>0</v>
      </c>
      <c r="D87" s="20">
        <f>D88+D89</f>
        <v>0</v>
      </c>
      <c r="E87" s="20">
        <f>E88+E89</f>
        <v>6293.309000000001</v>
      </c>
      <c r="F87" s="21">
        <f>F88+F89</f>
        <v>6788.794000000001</v>
      </c>
    </row>
    <row r="88" spans="1:6" ht="18.75">
      <c r="A88" s="109" t="s">
        <v>11</v>
      </c>
      <c r="B88" s="8">
        <f t="shared" si="1"/>
        <v>12985.503</v>
      </c>
      <c r="C88" s="10">
        <f>'январь факт'!C88+'февраль факт'!C88+'март фaкт'!C88+'апрель факт'!C88+'май факт'!C88+'июнь факт '!C88+июль!C88+'август факт'!C88+'сентябрь факт'!C88+'октябрь факт'!C88+'ноябрь факт'!C88+'декабрь факт '!C88</f>
        <v>0</v>
      </c>
      <c r="D88" s="10">
        <f>'январь факт'!D88+'февраль факт'!D88+'март фaкт'!D88+'апрель факт'!D88+'май факт'!D88+'июнь факт '!D88+июль!D88+'август факт'!D88+'сентябрь факт'!D88+'октябрь факт'!D88+'ноябрь факт'!D88+'декабрь факт '!D88</f>
        <v>0</v>
      </c>
      <c r="E88" s="10">
        <f>'январь факт'!E88+'февраль факт'!E88+'март фaкт'!E88+'апрель факт'!E88+'май факт'!E88+'июнь факт '!E88+июль!E88+'август факт'!E88+'сентябрь факт'!E88+'октябрь факт'!E88+'ноябрь факт'!E88+'декабрь факт '!E88</f>
        <v>6196.709000000001</v>
      </c>
      <c r="F88" s="17">
        <f>'январь факт'!F88+'февраль факт'!F88+'март фaкт'!F88+'апрель факт'!F88+'май факт'!F88+'июнь факт '!F88+июль!F88+'август факт'!F88+'сентябрь факт'!F88+'октябрь факт'!F88+'ноябрь факт'!F88+'декабрь факт '!F88</f>
        <v>6788.794000000001</v>
      </c>
    </row>
    <row r="89" spans="1:6" ht="18.75">
      <c r="A89" s="109" t="s">
        <v>12</v>
      </c>
      <c r="B89" s="8">
        <f t="shared" si="1"/>
        <v>96.6</v>
      </c>
      <c r="C89" s="10">
        <f>'январь факт'!C89+'февраль факт'!C89+'март фaкт'!C89+'апрель факт'!C89+'май факт'!C89+'июнь факт '!C89+июль!C89+'август факт'!C89+'сентябрь факт'!C89+'октябрь факт'!C89+'ноябрь факт'!C89+'декабрь факт '!C89</f>
        <v>0</v>
      </c>
      <c r="D89" s="10">
        <f>'январь факт'!D89+'февраль факт'!D89+'март фaкт'!D89+'апрель факт'!D89+'май факт'!D89+'июнь факт '!D89+июль!D89+'август факт'!D89+'сентябрь факт'!D89+'октябрь факт'!D89+'ноябрь факт'!D89+'декабрь факт '!D89</f>
        <v>0</v>
      </c>
      <c r="E89" s="10">
        <f>'январь факт'!E89+'февраль факт'!E89+'март фaкт'!E89+'апрель факт'!E89+'май факт'!E89+'июнь факт '!E89+июль!E89+'август факт'!E89+'сентябрь факт'!E89+'октябрь факт'!E89+'ноябрь факт'!E89+'декабрь факт '!E89</f>
        <v>96.6</v>
      </c>
      <c r="F89" s="17">
        <f>'январь факт'!F89+'февраль факт'!F89+'март фaкт'!F89+'апрель факт'!F89+'май факт'!F89+'июнь факт '!F89+июль!F89+'август факт'!F89+'сентябрь факт'!F89+'октябрь факт'!F89+'ноябрь факт'!F89+'декабрь факт '!F89</f>
        <v>0</v>
      </c>
    </row>
    <row r="90" spans="1:6" ht="36">
      <c r="A90" s="110" t="s">
        <v>65</v>
      </c>
      <c r="B90" s="8">
        <f t="shared" si="1"/>
        <v>71485.182</v>
      </c>
      <c r="C90" s="20">
        <f>C91+C92</f>
        <v>0</v>
      </c>
      <c r="D90" s="20">
        <f>D91+D92</f>
        <v>0</v>
      </c>
      <c r="E90" s="20">
        <f>E91+E92</f>
        <v>16565.328</v>
      </c>
      <c r="F90" s="21">
        <f>F91+F92</f>
        <v>54919.854</v>
      </c>
    </row>
    <row r="91" spans="1:6" ht="18.75">
      <c r="A91" s="109" t="s">
        <v>13</v>
      </c>
      <c r="B91" s="8">
        <f t="shared" si="1"/>
        <v>35418.952</v>
      </c>
      <c r="C91" s="8">
        <f>'январь факт'!C91+'февраль факт'!C91+'март фaкт'!C91+'апрель факт'!C91+'май факт'!C91+'июнь факт '!C91+июль!C91+'август факт'!C91+'сентябрь факт'!C91+'октябрь факт'!C91+'ноябрь факт'!C91+'декабрь факт '!C91</f>
        <v>0</v>
      </c>
      <c r="D91" s="8">
        <f>'январь факт'!D91+'февраль факт'!D91+'март фaкт'!D91+'апрель факт'!D91+'май факт'!D91+'июнь факт '!D91+июль!D91+'август факт'!D91+'сентябрь факт'!D91+'октябрь факт'!D91+'ноябрь факт'!D91+'декабрь факт '!D91</f>
        <v>0</v>
      </c>
      <c r="E91" s="8">
        <f>'январь факт'!E91+'февраль факт'!E91+'март фaкт'!E91+'апрель факт'!E91+'май факт'!E91+'июнь факт '!E91+июль!E91+'август факт'!E91+'сентябрь факт'!E91+'октябрь факт'!E91+'ноябрь факт'!E91+'декабрь факт '!E91</f>
        <v>16051.788000000002</v>
      </c>
      <c r="F91" s="9">
        <f>'январь факт'!F91+'февраль факт'!F91+'март фaкт'!F91+'апрель факт'!F91+'май факт'!F91+'июнь факт '!F91+июль!F91+'август факт'!F91+'сентябрь факт'!F91+'октябрь факт'!F91+'ноябрь факт'!F91+'декабрь факт '!F91</f>
        <v>19367.163999999997</v>
      </c>
    </row>
    <row r="92" spans="1:6" ht="18.75">
      <c r="A92" s="109" t="s">
        <v>10</v>
      </c>
      <c r="B92" s="8">
        <f t="shared" si="1"/>
        <v>36066.23</v>
      </c>
      <c r="C92" s="20">
        <f>C93+C94</f>
        <v>0</v>
      </c>
      <c r="D92" s="20">
        <f>D93+D94</f>
        <v>0</v>
      </c>
      <c r="E92" s="20">
        <f>E93+E94</f>
        <v>513.5400000000001</v>
      </c>
      <c r="F92" s="21">
        <f>F93+F94</f>
        <v>35552.69</v>
      </c>
    </row>
    <row r="93" spans="1:6" ht="18.75">
      <c r="A93" s="109" t="s">
        <v>11</v>
      </c>
      <c r="B93" s="8">
        <f t="shared" si="1"/>
        <v>8490.882000000001</v>
      </c>
      <c r="C93" s="10">
        <f>'январь факт'!C93+'февраль факт'!C93+'март фaкт'!C93+'апрель факт'!C93+'май факт'!C93+'июнь факт '!C93+июль!C93+'август факт'!C93+'сентябрь факт'!C93+'октябрь факт'!C93+'ноябрь факт'!C93+'декабрь факт '!C93</f>
        <v>0</v>
      </c>
      <c r="D93" s="10">
        <f>'январь факт'!D93+'февраль факт'!D93+'март фaкт'!D93+'апрель факт'!D93+'май факт'!D93+'июнь факт '!D93+июль!D93+'август факт'!D93+'сентябрь факт'!D93+'октябрь факт'!D93+'ноябрь факт'!D93+'декабрь факт '!D93</f>
        <v>0</v>
      </c>
      <c r="E93" s="10">
        <f>'январь факт'!E93+'февраль факт'!E93+'март фaкт'!E93+'апрель факт'!E93+'май факт'!E93+'июнь факт '!E93+июль!E93+'август факт'!E93+'сентябрь факт'!E93+'октябрь факт'!E93+'ноябрь факт'!E93+'декабрь факт '!E93</f>
        <v>220.91099999999997</v>
      </c>
      <c r="F93" s="17">
        <f>'январь факт'!F93+'февраль факт'!F93+'март фaкт'!F93+'апрель факт'!F93+'май факт'!F93+'июнь факт '!F93+июль!F93+'август факт'!F93+'сентябрь факт'!F93+'октябрь факт'!F93+'ноябрь факт'!F93+'декабрь факт '!F93</f>
        <v>8269.971000000001</v>
      </c>
    </row>
    <row r="94" spans="1:6" ht="19.5" thickBot="1">
      <c r="A94" s="116" t="s">
        <v>12</v>
      </c>
      <c r="B94" s="14">
        <f t="shared" si="1"/>
        <v>27575.348</v>
      </c>
      <c r="C94" s="101">
        <f>'январь факт'!C94+'февраль факт'!C94+'март фaкт'!C94+'апрель факт'!C94+'май факт'!C94+'июнь факт '!C94+июль!C94+'август факт'!C94+'сентябрь факт'!C94+'октябрь факт'!C94+'ноябрь факт'!C94+'декабрь факт '!C94</f>
        <v>0</v>
      </c>
      <c r="D94" s="101">
        <f>'январь факт'!D94+'февраль факт'!D94+'март фaкт'!D94+'апрель факт'!D94+'май факт'!D94+'июнь факт '!D94+июль!D94+'август факт'!D94+'сентябрь факт'!D94+'октябрь факт'!D94+'ноябрь факт'!D94+'декабрь факт '!D94</f>
        <v>0</v>
      </c>
      <c r="E94" s="101">
        <f>'январь факт'!E94+'февраль факт'!E94+'март фaкт'!E94+'апрель факт'!E94+'май факт'!E94+'июнь факт '!E94+июль!E94+'август факт'!E94+'сентябрь факт'!E94+'октябрь факт'!E94+'ноябрь факт'!E94+'декабрь факт '!E94</f>
        <v>292.6290000000001</v>
      </c>
      <c r="F94" s="102">
        <f>'январь факт'!F94+'февраль факт'!F94+'март фaкт'!F94+'апрель факт'!F94+'май факт'!F94+'июнь факт '!F94+июль!F94+'август факт'!F94+'сентябрь факт'!F94+'октябрь факт'!F94+'ноябрь факт'!F94+'декабрь факт '!F94</f>
        <v>27282.719</v>
      </c>
    </row>
    <row r="95" spans="1:6" ht="18">
      <c r="A95" s="54" t="s">
        <v>21</v>
      </c>
      <c r="B95" s="55">
        <f t="shared" si="1"/>
        <v>3649.736</v>
      </c>
      <c r="C95" s="32">
        <f>'январь факт'!C95+'февраль факт'!C95+'март фaкт'!C95+'апрель факт'!C95+'май факт'!C95+'июнь факт '!C95+июль!C95+'август факт'!C95+'сентябрь факт'!C95+'октябрь факт'!C95+'ноябрь факт'!C95+'декабрь факт '!C95</f>
        <v>0</v>
      </c>
      <c r="D95" s="32">
        <f>'январь факт'!D95+'февраль факт'!D95+'март фaкт'!D95+'апрель факт'!D95+'май факт'!D95+'июнь факт '!D95+июль!D95+'август факт'!D95+'сентябрь факт'!D95+'октябрь факт'!D95+'ноябрь факт'!D95+'декабрь факт '!D95</f>
        <v>0</v>
      </c>
      <c r="E95" s="32">
        <f>'январь факт'!E95+'февраль факт'!E95+'март фaкт'!E95+'апрель факт'!E95+'май факт'!E95+'июнь факт '!E95+июль!E95+'август факт'!E95+'сентябрь факт'!E95+'октябрь факт'!E95+'ноябрь факт'!E95+'декабрь факт '!E95</f>
        <v>3649.736</v>
      </c>
      <c r="F95" s="33">
        <f>'январь факт'!F95+'февраль факт'!F95+'март фaкт'!F95+'апрель факт'!F95+'май факт'!F95+'июнь факт '!F95+июль!F95+'август факт'!F95+'сентябрь факт'!F95+'октябрь факт'!F95+'ноябрь факт'!F95+'декабрь факт '!F95</f>
        <v>0</v>
      </c>
    </row>
    <row r="96" spans="1:6" ht="18">
      <c r="A96" s="31" t="s">
        <v>22</v>
      </c>
      <c r="B96" s="5">
        <f t="shared" si="1"/>
        <v>861.0949999999999</v>
      </c>
      <c r="C96" s="8">
        <f>'январь факт'!C96+'февраль факт'!C96+'март фaкт'!C96+'апрель факт'!C96+'май факт'!C96+'июнь факт '!C96+июль!C96+'август факт'!C96+'сентябрь факт'!C96+'октябрь факт'!C96+'ноябрь факт'!C96+'декабрь факт '!C96</f>
        <v>0</v>
      </c>
      <c r="D96" s="8">
        <f>'январь факт'!D96+'февраль факт'!D96+'март фaкт'!D96+'апрель факт'!D96+'май факт'!D96+'июнь факт '!D96+июль!D96+'август факт'!D96+'сентябрь факт'!D96+'октябрь факт'!D96+'ноябрь факт'!D96+'декабрь факт '!D96</f>
        <v>0</v>
      </c>
      <c r="E96" s="8">
        <f>'январь факт'!E96+'февраль факт'!E96+'март фaкт'!E96+'апрель факт'!E96+'май факт'!E96+'июнь факт '!E96+июль!E96+'август факт'!E96+'сентябрь факт'!E96+'октябрь факт'!E96+'ноябрь факт'!E96+'декабрь факт '!E96</f>
        <v>861.0949999999999</v>
      </c>
      <c r="F96" s="9">
        <f>'январь факт'!F96+'февраль факт'!F96+'март фaкт'!F96+'апрель факт'!F96+'май факт'!F96+'июнь факт '!F96+июль!F96+'август факт'!F96+'сентябрь факт'!F96+'октябрь факт'!F96+'ноябрь факт'!F96+'декабрь факт '!F96</f>
        <v>0</v>
      </c>
    </row>
    <row r="97" spans="1:6" ht="18">
      <c r="A97" s="31" t="s">
        <v>27</v>
      </c>
      <c r="B97" s="5">
        <f t="shared" si="1"/>
        <v>8092.727999999999</v>
      </c>
      <c r="C97" s="8">
        <f>'январь факт'!C97+'февраль факт'!C97+'март фaкт'!C97+'апрель факт'!C97+'май факт'!C97+'июнь факт '!C97+июль!C97+'август факт'!C97+'сентябрь факт'!C97+'октябрь факт'!C97+'ноябрь факт'!C97+'декабрь факт '!C97</f>
        <v>0</v>
      </c>
      <c r="D97" s="8">
        <f>'январь факт'!D97+'февраль факт'!D97+'март фaкт'!D97+'апрель факт'!D97+'май факт'!D97+'июнь факт '!D97+июль!D97+'август факт'!D97+'сентябрь факт'!D97+'октябрь факт'!D97+'ноябрь факт'!D97+'декабрь факт '!D97</f>
        <v>0</v>
      </c>
      <c r="E97" s="8">
        <f>'январь факт'!E97+'февраль факт'!E97+'март фaкт'!E97+'апрель факт'!E97+'май факт'!E97+'июнь факт '!E97+июль!E97+'август факт'!E97+'сентябрь факт'!E97+'октябрь факт'!E97+'ноябрь факт'!E97+'декабрь факт '!E97</f>
        <v>7125.224999999999</v>
      </c>
      <c r="F97" s="9">
        <f>'январь факт'!F97+'февраль факт'!F97+'март фaкт'!F97+'апрель факт'!F97+'май факт'!F97+'июнь факт '!F97+июль!F97+'август факт'!F97+'сентябрь факт'!F97+'октябрь факт'!F97+'ноябрь факт'!F97+'декабрь факт '!F97</f>
        <v>967.503</v>
      </c>
    </row>
    <row r="98" spans="1:6" ht="18">
      <c r="A98" s="31" t="s">
        <v>23</v>
      </c>
      <c r="B98" s="5">
        <f t="shared" si="1"/>
        <v>9595.594000000001</v>
      </c>
      <c r="C98" s="8">
        <f>'январь факт'!C98+'февраль факт'!C98+'март фaкт'!C98+'апрель факт'!C98+'май факт'!C98+'июнь факт '!C98+июль!C98+'август факт'!C98+'сентябрь факт'!C98+'октябрь факт'!C98+'ноябрь факт'!C98+'декабрь факт '!C98</f>
        <v>6821.232000000001</v>
      </c>
      <c r="D98" s="8">
        <f>'январь факт'!D98+'февраль факт'!D98+'март фaкт'!D98+'апрель факт'!D98+'май факт'!D98+'июнь факт '!D98+июль!D98+'август факт'!D98+'сентябрь факт'!D98+'октябрь факт'!D98+'ноябрь факт'!D98+'декабрь факт '!D98</f>
        <v>0</v>
      </c>
      <c r="E98" s="8">
        <f>'январь факт'!E98+'февраль факт'!E98+'март фaкт'!E98+'апрель факт'!E98+'май факт'!E98+'июнь факт '!E98+июль!E98+'август факт'!E98+'сентябрь факт'!E98+'октябрь факт'!E98+'ноябрь факт'!E98+'декабрь факт '!E98</f>
        <v>1449.44</v>
      </c>
      <c r="F98" s="9">
        <f>'январь факт'!F98+'февраль факт'!F98+'март фaкт'!F98+'апрель факт'!F98+'май факт'!F98+'июнь факт '!F98+июль!F98+'август факт'!F98+'сентябрь факт'!F98+'октябрь факт'!F98+'ноябрь факт'!F98+'декабрь факт '!F98</f>
        <v>1324.922</v>
      </c>
    </row>
    <row r="99" spans="1:6" ht="36.75" thickBot="1">
      <c r="A99" s="120" t="s">
        <v>24</v>
      </c>
      <c r="B99" s="121">
        <f t="shared" si="1"/>
        <v>6389.853000000001</v>
      </c>
      <c r="C99" s="8">
        <f>'январь факт'!C99+'февраль факт'!C99+'март фaкт'!C99+'апрель факт'!C99+'май факт'!C99+'июнь факт '!C99+июль!C99+'август факт'!C99+'сентябрь факт'!C99+'октябрь факт'!C99+'ноябрь факт'!C99+'декабрь факт '!C99</f>
        <v>0</v>
      </c>
      <c r="D99" s="8">
        <f>'январь факт'!D99+'февраль факт'!D99+'март фaкт'!D99+'апрель факт'!D99+'май факт'!D99+'июнь факт '!D99+июль!D99+'август факт'!D99+'сентябрь факт'!D99+'октябрь факт'!D99+'ноябрь факт'!D99+'декабрь факт '!D99</f>
        <v>0</v>
      </c>
      <c r="E99" s="8">
        <f>'январь факт'!E99+'февраль факт'!E99+'март фaкт'!E99+'апрель факт'!E99+'май факт'!E99+'июнь факт '!E99+июль!E99+'август факт'!E99+'сентябрь факт'!E99+'октябрь факт'!E99+'ноябрь факт'!E99+'декабрь факт '!E99</f>
        <v>6389.853000000001</v>
      </c>
      <c r="F99" s="9">
        <f>'январь факт'!F99+'февраль факт'!F99+'март фaкт'!F99+'апрель факт'!F99+'май факт'!F99+'июнь факт '!F99+июль!F99+'август факт'!F99+'сентябрь факт'!F99+'октябрь факт'!F99+'ноябрь факт'!F99+'декабрь факт '!F99</f>
        <v>0</v>
      </c>
    </row>
    <row r="100" spans="1:6" ht="18.75" thickBot="1">
      <c r="A100" s="30" t="s">
        <v>66</v>
      </c>
      <c r="B100" s="50">
        <f t="shared" si="1"/>
        <v>1469472.4323999998</v>
      </c>
      <c r="C100" s="124">
        <f>C5+C10+C15+C20+C25+C30+C35+C40+C45+C50+C55+C60+C65+C70+C75+C80+C85+C90+C95+C96+C97+C98+C99</f>
        <v>617859.6049999999</v>
      </c>
      <c r="D100" s="124">
        <f>D5+D10+D15+D20+D25+D30+D35+D40+D45+D50+D55+D60+D65+D70+D75+D80+D85+D90+D95+D96+D97+D98+D99</f>
        <v>19754.929</v>
      </c>
      <c r="E100" s="124">
        <f>E5+E10+E15+E20+E25+E30+E35+E40+E45+E50+E55+E60+E65+E70+E75+E80+E85+E90+E95+E96+E97+E98+E99</f>
        <v>365659.3004</v>
      </c>
      <c r="F100" s="51">
        <f>F5+F10+F15+F20+F25+F30+F35+F40+F45+F50+F55+F60+F65+F70+F75+F80+F85+F90+F95+F96+F97+F98+F99</f>
        <v>466198.59799999994</v>
      </c>
    </row>
  </sheetData>
  <sheetProtection/>
  <mergeCells count="2">
    <mergeCell ref="A1:F1"/>
    <mergeCell ref="A2:F2"/>
  </mergeCells>
  <printOptions horizontalCentered="1"/>
  <pageMargins left="0.043307086614173235" right="0.03937007874015748" top="0.3937007874015748" bottom="0.03937007874015748" header="0.5118110236220472" footer="0.5118110236220472"/>
  <pageSetup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="60" zoomScaleNormal="6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4" sqref="L14"/>
    </sheetView>
  </sheetViews>
  <sheetFormatPr defaultColWidth="9.00390625" defaultRowHeight="12.75"/>
  <cols>
    <col min="1" max="1" width="68.25390625" style="0" customWidth="1"/>
    <col min="2" max="2" width="25.25390625" style="0" customWidth="1"/>
    <col min="3" max="6" width="25.25390625" style="3" customWidth="1"/>
    <col min="7" max="7" width="22.75390625" style="0" customWidth="1"/>
    <col min="8" max="8" width="14.875" style="0" customWidth="1"/>
    <col min="9" max="9" width="18.125" style="0" customWidth="1"/>
  </cols>
  <sheetData>
    <row r="1" spans="1:6" s="41" customFormat="1" ht="47.25" customHeight="1">
      <c r="A1" s="162" t="s">
        <v>32</v>
      </c>
      <c r="B1" s="162"/>
      <c r="C1" s="162"/>
      <c r="D1" s="162"/>
      <c r="E1" s="162"/>
      <c r="F1" s="162"/>
    </row>
    <row r="2" spans="1:6" s="42" customFormat="1" ht="23.25">
      <c r="A2" s="163" t="s">
        <v>40</v>
      </c>
      <c r="B2" s="163"/>
      <c r="C2" s="163"/>
      <c r="D2" s="164"/>
      <c r="E2" s="164"/>
      <c r="F2" s="164"/>
    </row>
    <row r="3" s="3" customFormat="1" ht="18.75" thickBot="1">
      <c r="F3" s="73" t="s">
        <v>31</v>
      </c>
    </row>
    <row r="4" spans="1:9" s="2" customFormat="1" ht="20.25" customHeight="1" thickBot="1">
      <c r="A4" s="43" t="s">
        <v>15</v>
      </c>
      <c r="B4" s="62"/>
      <c r="C4" s="52" t="s">
        <v>0</v>
      </c>
      <c r="D4" s="52" t="s">
        <v>1</v>
      </c>
      <c r="E4" s="52" t="s">
        <v>2</v>
      </c>
      <c r="F4" s="53" t="s">
        <v>3</v>
      </c>
      <c r="I4" s="6"/>
    </row>
    <row r="5" spans="1:9" s="2" customFormat="1" ht="36.75" customHeight="1">
      <c r="A5" s="108" t="s">
        <v>57</v>
      </c>
      <c r="B5" s="32">
        <f aca="true" t="shared" si="0" ref="B5:B54">C5+D5+E5+F5</f>
        <v>102881.747</v>
      </c>
      <c r="C5" s="97">
        <f>C6+C7</f>
        <v>46976.918</v>
      </c>
      <c r="D5" s="97">
        <f>D6+D7</f>
        <v>1479.428</v>
      </c>
      <c r="E5" s="97">
        <f>E6+E7</f>
        <v>24716.043</v>
      </c>
      <c r="F5" s="98">
        <f>F6+F7</f>
        <v>29709.358</v>
      </c>
      <c r="I5" s="65"/>
    </row>
    <row r="6" spans="1:9" s="2" customFormat="1" ht="24.75" customHeight="1">
      <c r="A6" s="109" t="s">
        <v>13</v>
      </c>
      <c r="B6" s="8">
        <f t="shared" si="0"/>
        <v>85935.592</v>
      </c>
      <c r="C6" s="8">
        <f>46976.918-C7</f>
        <v>46935.987</v>
      </c>
      <c r="D6" s="8">
        <f>1479.428-D7</f>
        <v>1478.1180000000002</v>
      </c>
      <c r="E6" s="8">
        <f>24716.043-E7</f>
        <v>23864.143</v>
      </c>
      <c r="F6" s="9">
        <f>29709.358-F7</f>
        <v>13657.344000000001</v>
      </c>
      <c r="I6" s="66"/>
    </row>
    <row r="7" spans="1:9" s="2" customFormat="1" ht="27" customHeight="1">
      <c r="A7" s="109" t="s">
        <v>10</v>
      </c>
      <c r="B7" s="8">
        <f t="shared" si="0"/>
        <v>16946.155</v>
      </c>
      <c r="C7" s="8">
        <f>C8+C9</f>
        <v>40.931</v>
      </c>
      <c r="D7" s="20">
        <f>D8+D9</f>
        <v>1.31</v>
      </c>
      <c r="E7" s="20">
        <f>E8+E9</f>
        <v>851.9</v>
      </c>
      <c r="F7" s="21">
        <f>F8+F9</f>
        <v>16052.014</v>
      </c>
      <c r="I7" s="66"/>
    </row>
    <row r="8" spans="1:9" s="2" customFormat="1" ht="21.75" customHeight="1">
      <c r="A8" s="109" t="s">
        <v>11</v>
      </c>
      <c r="B8" s="8">
        <f t="shared" si="0"/>
        <v>4894.455</v>
      </c>
      <c r="C8" s="93">
        <f>11.346+9.207</f>
        <v>20.553</v>
      </c>
      <c r="D8" s="93"/>
      <c r="E8" s="93">
        <v>154.706</v>
      </c>
      <c r="F8" s="94">
        <v>4719.196</v>
      </c>
      <c r="I8" s="6"/>
    </row>
    <row r="9" spans="1:9" s="2" customFormat="1" ht="19.5" customHeight="1">
      <c r="A9" s="109" t="s">
        <v>12</v>
      </c>
      <c r="B9" s="8">
        <f t="shared" si="0"/>
        <v>12051.699999999999</v>
      </c>
      <c r="C9" s="93">
        <v>20.378</v>
      </c>
      <c r="D9" s="93">
        <v>1.31</v>
      </c>
      <c r="E9" s="93">
        <v>697.194</v>
      </c>
      <c r="F9" s="94">
        <v>11332.818</v>
      </c>
      <c r="I9" s="29"/>
    </row>
    <row r="10" spans="1:9" s="2" customFormat="1" ht="17.25" customHeight="1">
      <c r="A10" s="110" t="s">
        <v>58</v>
      </c>
      <c r="B10" s="8">
        <f>C10+D10+E10+F10</f>
        <v>7059.117</v>
      </c>
      <c r="C10" s="20">
        <f>C11+C12</f>
        <v>1138.83</v>
      </c>
      <c r="D10" s="20"/>
      <c r="E10" s="20">
        <f>E11+E12</f>
        <v>2545.02</v>
      </c>
      <c r="F10" s="21">
        <f>F11+F12</f>
        <v>3375.267</v>
      </c>
      <c r="I10" s="6"/>
    </row>
    <row r="11" spans="1:9" s="2" customFormat="1" ht="17.25" customHeight="1">
      <c r="A11" s="109" t="s">
        <v>13</v>
      </c>
      <c r="B11" s="8">
        <f t="shared" si="0"/>
        <v>4613.817</v>
      </c>
      <c r="C11" s="8">
        <v>1022.358</v>
      </c>
      <c r="D11" s="8"/>
      <c r="E11" s="8">
        <v>2113.215</v>
      </c>
      <c r="F11" s="9">
        <v>1478.244</v>
      </c>
      <c r="I11" s="6"/>
    </row>
    <row r="12" spans="1:9" s="2" customFormat="1" ht="35.25" customHeight="1">
      <c r="A12" s="109" t="s">
        <v>10</v>
      </c>
      <c r="B12" s="8">
        <f t="shared" si="0"/>
        <v>2445.3</v>
      </c>
      <c r="C12" s="20">
        <f>C13+C14</f>
        <v>116.472</v>
      </c>
      <c r="D12" s="8"/>
      <c r="E12" s="20">
        <f>E13+E14</f>
        <v>431.805</v>
      </c>
      <c r="F12" s="21">
        <f>F13+F14</f>
        <v>1897.0230000000001</v>
      </c>
      <c r="I12" s="6"/>
    </row>
    <row r="13" spans="1:6" s="2" customFormat="1" ht="19.5" customHeight="1">
      <c r="A13" s="109" t="s">
        <v>11</v>
      </c>
      <c r="B13" s="8">
        <f t="shared" si="0"/>
        <v>1335.67</v>
      </c>
      <c r="C13" s="93"/>
      <c r="D13" s="93"/>
      <c r="E13" s="93">
        <v>73.23</v>
      </c>
      <c r="F13" s="94">
        <v>1262.44</v>
      </c>
    </row>
    <row r="14" spans="1:6" s="2" customFormat="1" ht="18" customHeight="1">
      <c r="A14" s="109" t="s">
        <v>12</v>
      </c>
      <c r="B14" s="8">
        <f t="shared" si="0"/>
        <v>1109.6299999999999</v>
      </c>
      <c r="C14" s="93">
        <v>116.472</v>
      </c>
      <c r="D14" s="93"/>
      <c r="E14" s="93">
        <v>358.575</v>
      </c>
      <c r="F14" s="94">
        <v>634.583</v>
      </c>
    </row>
    <row r="15" spans="1:6" s="2" customFormat="1" ht="19.5" customHeight="1">
      <c r="A15" s="110" t="s">
        <v>6</v>
      </c>
      <c r="B15" s="8">
        <f t="shared" si="0"/>
        <v>1688.855</v>
      </c>
      <c r="C15" s="20">
        <f>C16+C17</f>
        <v>1688.855</v>
      </c>
      <c r="D15" s="8"/>
      <c r="E15" s="8"/>
      <c r="F15" s="9"/>
    </row>
    <row r="16" spans="1:6" s="2" customFormat="1" ht="19.5" customHeight="1">
      <c r="A16" s="109" t="s">
        <v>13</v>
      </c>
      <c r="B16" s="8">
        <f t="shared" si="0"/>
        <v>1688.362</v>
      </c>
      <c r="C16" s="8">
        <v>1688.362</v>
      </c>
      <c r="D16" s="8"/>
      <c r="E16" s="20"/>
      <c r="F16" s="21"/>
    </row>
    <row r="17" spans="1:9" s="2" customFormat="1" ht="42.75" customHeight="1">
      <c r="A17" s="109" t="s">
        <v>10</v>
      </c>
      <c r="B17" s="8">
        <f t="shared" si="0"/>
        <v>0.493</v>
      </c>
      <c r="C17" s="20">
        <f>C18+C19</f>
        <v>0.493</v>
      </c>
      <c r="D17" s="8"/>
      <c r="E17" s="20"/>
      <c r="F17" s="21"/>
      <c r="H17" s="28"/>
      <c r="I17" s="26"/>
    </row>
    <row r="18" spans="1:9" s="2" customFormat="1" ht="21.75" customHeight="1">
      <c r="A18" s="109" t="s">
        <v>11</v>
      </c>
      <c r="B18" s="8">
        <f t="shared" si="0"/>
        <v>0.493</v>
      </c>
      <c r="C18" s="93">
        <v>0.493</v>
      </c>
      <c r="D18" s="93"/>
      <c r="E18" s="93"/>
      <c r="F18" s="94"/>
      <c r="H18" s="28"/>
      <c r="I18" s="28"/>
    </row>
    <row r="19" spans="1:9" s="2" customFormat="1" ht="21" customHeight="1">
      <c r="A19" s="109" t="s">
        <v>12</v>
      </c>
      <c r="B19" s="8">
        <f t="shared" si="0"/>
        <v>0</v>
      </c>
      <c r="C19" s="93"/>
      <c r="D19" s="93"/>
      <c r="E19" s="93"/>
      <c r="F19" s="94"/>
      <c r="H19" s="28"/>
      <c r="I19" s="28"/>
    </row>
    <row r="20" spans="1:9" s="2" customFormat="1" ht="36.75" customHeight="1">
      <c r="A20" s="110" t="s">
        <v>59</v>
      </c>
      <c r="B20" s="8">
        <f t="shared" si="0"/>
        <v>1033.371</v>
      </c>
      <c r="C20" s="20">
        <f>C21+C22</f>
        <v>9.364</v>
      </c>
      <c r="D20" s="20">
        <f>D21+D22</f>
        <v>945.211</v>
      </c>
      <c r="E20" s="20">
        <f>E21+E22</f>
        <v>0.501</v>
      </c>
      <c r="F20" s="21">
        <f>F21+F22</f>
        <v>78.295</v>
      </c>
      <c r="H20" s="28"/>
      <c r="I20" s="36"/>
    </row>
    <row r="21" spans="1:9" s="2" customFormat="1" ht="21" customHeight="1">
      <c r="A21" s="109" t="s">
        <v>13</v>
      </c>
      <c r="B21" s="8">
        <f t="shared" si="0"/>
        <v>1013.931</v>
      </c>
      <c r="C21" s="8">
        <v>9.364</v>
      </c>
      <c r="D21" s="8">
        <v>945.211</v>
      </c>
      <c r="E21" s="8">
        <v>0.501</v>
      </c>
      <c r="F21" s="9">
        <v>58.855</v>
      </c>
      <c r="H21" s="28"/>
      <c r="I21" s="36"/>
    </row>
    <row r="22" spans="1:9" s="2" customFormat="1" ht="39" customHeight="1">
      <c r="A22" s="109" t="s">
        <v>10</v>
      </c>
      <c r="B22" s="8">
        <f t="shared" si="0"/>
        <v>19.44</v>
      </c>
      <c r="C22" s="8"/>
      <c r="D22" s="8"/>
      <c r="E22" s="20">
        <f>E23+E24</f>
        <v>0</v>
      </c>
      <c r="F22" s="21">
        <f>F23+F24</f>
        <v>19.44</v>
      </c>
      <c r="H22" s="4"/>
      <c r="I22" s="4"/>
    </row>
    <row r="23" spans="1:6" s="2" customFormat="1" ht="19.5" customHeight="1">
      <c r="A23" s="109" t="s">
        <v>11</v>
      </c>
      <c r="B23" s="8">
        <f t="shared" si="0"/>
        <v>19.44</v>
      </c>
      <c r="C23" s="93"/>
      <c r="D23" s="93"/>
      <c r="E23" s="93"/>
      <c r="F23" s="94">
        <v>19.44</v>
      </c>
    </row>
    <row r="24" spans="1:6" s="2" customFormat="1" ht="20.25" customHeight="1">
      <c r="A24" s="109" t="s">
        <v>12</v>
      </c>
      <c r="B24" s="8">
        <f t="shared" si="0"/>
        <v>0</v>
      </c>
      <c r="C24" s="93"/>
      <c r="D24" s="93"/>
      <c r="E24" s="93"/>
      <c r="F24" s="94"/>
    </row>
    <row r="25" spans="1:6" s="2" customFormat="1" ht="35.25" customHeight="1">
      <c r="A25" s="110" t="s">
        <v>7</v>
      </c>
      <c r="B25" s="8">
        <f t="shared" si="0"/>
        <v>12746.891</v>
      </c>
      <c r="C25" s="20">
        <f>C26+C27</f>
        <v>6395.534</v>
      </c>
      <c r="D25" s="20"/>
      <c r="E25" s="20">
        <f>E26+E27</f>
        <v>2228.518</v>
      </c>
      <c r="F25" s="21">
        <f>F26+F27</f>
        <v>4122.839</v>
      </c>
    </row>
    <row r="26" spans="1:6" s="2" customFormat="1" ht="20.25" customHeight="1">
      <c r="A26" s="109" t="s">
        <v>13</v>
      </c>
      <c r="B26" s="8">
        <f t="shared" si="0"/>
        <v>10069.173</v>
      </c>
      <c r="C26" s="8">
        <v>6395.534</v>
      </c>
      <c r="D26" s="8"/>
      <c r="E26" s="20">
        <v>2157.361</v>
      </c>
      <c r="F26" s="21">
        <v>1516.278</v>
      </c>
    </row>
    <row r="27" spans="1:6" s="2" customFormat="1" ht="39" customHeight="1">
      <c r="A27" s="109" t="s">
        <v>10</v>
      </c>
      <c r="B27" s="8">
        <f t="shared" si="0"/>
        <v>2677.718</v>
      </c>
      <c r="C27" s="8"/>
      <c r="D27" s="8"/>
      <c r="E27" s="20">
        <f>E28+E29</f>
        <v>71.157</v>
      </c>
      <c r="F27" s="21">
        <f>F28+F29</f>
        <v>2606.5609999999997</v>
      </c>
    </row>
    <row r="28" spans="1:6" s="2" customFormat="1" ht="22.5" customHeight="1">
      <c r="A28" s="109" t="s">
        <v>11</v>
      </c>
      <c r="B28" s="8">
        <f t="shared" si="0"/>
        <v>2645.379</v>
      </c>
      <c r="C28" s="93"/>
      <c r="D28" s="93"/>
      <c r="E28" s="93">
        <v>71.157</v>
      </c>
      <c r="F28" s="94">
        <f>2415.191+159.031</f>
        <v>2574.2219999999998</v>
      </c>
    </row>
    <row r="29" spans="1:6" s="2" customFormat="1" ht="24.75" customHeight="1">
      <c r="A29" s="109" t="s">
        <v>12</v>
      </c>
      <c r="B29" s="8">
        <f t="shared" si="0"/>
        <v>32.339</v>
      </c>
      <c r="C29" s="93"/>
      <c r="D29" s="93"/>
      <c r="E29" s="93"/>
      <c r="F29" s="94">
        <v>32.339</v>
      </c>
    </row>
    <row r="30" spans="1:6" s="2" customFormat="1" ht="30.75" customHeight="1">
      <c r="A30" s="110" t="s">
        <v>60</v>
      </c>
      <c r="B30" s="8">
        <f t="shared" si="0"/>
        <v>132.723</v>
      </c>
      <c r="C30" s="20"/>
      <c r="D30" s="20"/>
      <c r="E30" s="20">
        <f>E31+E32</f>
        <v>82.187</v>
      </c>
      <c r="F30" s="21">
        <f>F31+F32</f>
        <v>50.536</v>
      </c>
    </row>
    <row r="31" spans="1:6" s="2" customFormat="1" ht="18" customHeight="1">
      <c r="A31" s="109" t="s">
        <v>13</v>
      </c>
      <c r="B31" s="8">
        <f t="shared" si="0"/>
        <v>97.702</v>
      </c>
      <c r="C31" s="8"/>
      <c r="D31" s="8"/>
      <c r="E31" s="20">
        <v>82.187</v>
      </c>
      <c r="F31" s="21">
        <v>15.515</v>
      </c>
    </row>
    <row r="32" spans="1:9" s="2" customFormat="1" ht="25.5" customHeight="1">
      <c r="A32" s="109" t="s">
        <v>10</v>
      </c>
      <c r="B32" s="8">
        <f t="shared" si="0"/>
        <v>35.021</v>
      </c>
      <c r="C32" s="8"/>
      <c r="D32" s="8"/>
      <c r="E32" s="20">
        <f>E33+E34</f>
        <v>0</v>
      </c>
      <c r="F32" s="21">
        <f>F33+F34</f>
        <v>35.021</v>
      </c>
      <c r="H32" s="28"/>
      <c r="I32" s="26"/>
    </row>
    <row r="33" spans="1:9" s="2" customFormat="1" ht="23.25" customHeight="1">
      <c r="A33" s="109" t="s">
        <v>11</v>
      </c>
      <c r="B33" s="8">
        <f t="shared" si="0"/>
        <v>28.435</v>
      </c>
      <c r="C33" s="93"/>
      <c r="D33" s="93"/>
      <c r="E33" s="93"/>
      <c r="F33" s="94">
        <v>28.435</v>
      </c>
      <c r="H33" s="28"/>
      <c r="I33" s="28"/>
    </row>
    <row r="34" spans="1:9" s="2" customFormat="1" ht="23.25" customHeight="1">
      <c r="A34" s="109" t="s">
        <v>12</v>
      </c>
      <c r="B34" s="8">
        <f t="shared" si="0"/>
        <v>6.586</v>
      </c>
      <c r="C34" s="93"/>
      <c r="D34" s="93"/>
      <c r="E34" s="93"/>
      <c r="F34" s="94">
        <v>6.586</v>
      </c>
      <c r="H34" s="28"/>
      <c r="I34" s="26"/>
    </row>
    <row r="35" spans="1:9" s="2" customFormat="1" ht="36" customHeight="1">
      <c r="A35" s="49" t="s">
        <v>61</v>
      </c>
      <c r="B35" s="8">
        <f t="shared" si="0"/>
        <v>211.223</v>
      </c>
      <c r="C35" s="20">
        <f>C36+C37</f>
        <v>0</v>
      </c>
      <c r="D35" s="95"/>
      <c r="E35" s="20">
        <f>E36+E37</f>
        <v>0</v>
      </c>
      <c r="F35" s="21">
        <f>F36+F37</f>
        <v>211.223</v>
      </c>
      <c r="H35" s="28"/>
      <c r="I35" s="40"/>
    </row>
    <row r="36" spans="1:9" s="2" customFormat="1" ht="23.25" customHeight="1">
      <c r="A36" s="109" t="s">
        <v>13</v>
      </c>
      <c r="B36" s="8">
        <f t="shared" si="0"/>
        <v>197.71</v>
      </c>
      <c r="C36" s="8"/>
      <c r="D36" s="8"/>
      <c r="E36" s="8"/>
      <c r="F36" s="9">
        <v>197.71</v>
      </c>
      <c r="H36" s="28"/>
      <c r="I36" s="40"/>
    </row>
    <row r="37" spans="1:9" s="2" customFormat="1" ht="25.5" customHeight="1">
      <c r="A37" s="109" t="s">
        <v>10</v>
      </c>
      <c r="B37" s="8">
        <f t="shared" si="0"/>
        <v>13.513</v>
      </c>
      <c r="C37" s="20">
        <f>C38+C39</f>
        <v>0</v>
      </c>
      <c r="D37" s="8"/>
      <c r="E37" s="20">
        <f>E38+E39</f>
        <v>0</v>
      </c>
      <c r="F37" s="21">
        <f>F38+F39</f>
        <v>13.513</v>
      </c>
      <c r="G37" s="6"/>
      <c r="H37" s="4"/>
      <c r="I37" s="4"/>
    </row>
    <row r="38" spans="1:6" s="2" customFormat="1" ht="19.5" customHeight="1">
      <c r="A38" s="109" t="s">
        <v>11</v>
      </c>
      <c r="B38" s="8">
        <f t="shared" si="0"/>
        <v>0</v>
      </c>
      <c r="C38" s="95"/>
      <c r="D38" s="95"/>
      <c r="E38" s="95"/>
      <c r="F38" s="12"/>
    </row>
    <row r="39" spans="1:6" s="2" customFormat="1" ht="19.5" customHeight="1">
      <c r="A39" s="109" t="s">
        <v>12</v>
      </c>
      <c r="B39" s="8">
        <f t="shared" si="0"/>
        <v>13.513</v>
      </c>
      <c r="C39" s="95"/>
      <c r="D39" s="95"/>
      <c r="E39" s="95"/>
      <c r="F39" s="12">
        <v>13.513</v>
      </c>
    </row>
    <row r="40" spans="1:6" s="2" customFormat="1" ht="19.5" customHeight="1">
      <c r="A40" s="110" t="s">
        <v>26</v>
      </c>
      <c r="B40" s="8">
        <f t="shared" si="0"/>
        <v>73.03</v>
      </c>
      <c r="C40" s="95">
        <f>C41+C42</f>
        <v>2.563</v>
      </c>
      <c r="D40" s="95">
        <f>D41+D42</f>
        <v>0</v>
      </c>
      <c r="E40" s="95">
        <f>E41+E42</f>
        <v>70.467</v>
      </c>
      <c r="F40" s="96">
        <f>F41+F42</f>
        <v>0</v>
      </c>
    </row>
    <row r="41" spans="1:6" s="2" customFormat="1" ht="19.5" customHeight="1">
      <c r="A41" s="109" t="s">
        <v>13</v>
      </c>
      <c r="B41" s="8">
        <f t="shared" si="0"/>
        <v>73.03</v>
      </c>
      <c r="C41" s="8">
        <v>2.563</v>
      </c>
      <c r="D41" s="8"/>
      <c r="E41" s="8">
        <v>70.467</v>
      </c>
      <c r="F41" s="9"/>
    </row>
    <row r="42" spans="1:9" s="2" customFormat="1" ht="24.75" customHeight="1">
      <c r="A42" s="109" t="s">
        <v>10</v>
      </c>
      <c r="B42" s="8">
        <f t="shared" si="0"/>
        <v>0</v>
      </c>
      <c r="C42" s="8"/>
      <c r="D42" s="8"/>
      <c r="E42" s="20">
        <f>E43+E44</f>
        <v>0</v>
      </c>
      <c r="F42" s="21">
        <f>F43+F44</f>
        <v>0</v>
      </c>
      <c r="H42" s="28"/>
      <c r="I42" s="26"/>
    </row>
    <row r="43" spans="1:9" s="2" customFormat="1" ht="24.75" customHeight="1">
      <c r="A43" s="109" t="s">
        <v>11</v>
      </c>
      <c r="B43" s="8">
        <f t="shared" si="0"/>
        <v>0</v>
      </c>
      <c r="C43" s="95"/>
      <c r="D43" s="95"/>
      <c r="E43" s="95"/>
      <c r="F43" s="12"/>
      <c r="H43" s="28"/>
      <c r="I43" s="28"/>
    </row>
    <row r="44" spans="1:9" s="2" customFormat="1" ht="24.75" customHeight="1">
      <c r="A44" s="109" t="s">
        <v>12</v>
      </c>
      <c r="B44" s="8">
        <f t="shared" si="0"/>
        <v>0</v>
      </c>
      <c r="C44" s="95"/>
      <c r="D44" s="95"/>
      <c r="E44" s="95"/>
      <c r="F44" s="12"/>
      <c r="H44" s="28"/>
      <c r="I44" s="28"/>
    </row>
    <row r="45" spans="1:9" s="2" customFormat="1" ht="24.75" customHeight="1">
      <c r="A45" s="111" t="s">
        <v>29</v>
      </c>
      <c r="B45" s="8">
        <f t="shared" si="0"/>
        <v>162.924</v>
      </c>
      <c r="C45" s="10"/>
      <c r="D45" s="8"/>
      <c r="E45" s="8">
        <f>E46+E47</f>
        <v>72.756</v>
      </c>
      <c r="F45" s="9">
        <f>F46+F47</f>
        <v>90.168</v>
      </c>
      <c r="H45" s="28"/>
      <c r="I45" s="28"/>
    </row>
    <row r="46" spans="1:9" s="2" customFormat="1" ht="24.75" customHeight="1">
      <c r="A46" s="109" t="s">
        <v>13</v>
      </c>
      <c r="B46" s="8">
        <f t="shared" si="0"/>
        <v>162.924</v>
      </c>
      <c r="C46" s="8"/>
      <c r="D46" s="8"/>
      <c r="E46" s="20">
        <v>72.756</v>
      </c>
      <c r="F46" s="21">
        <v>90.168</v>
      </c>
      <c r="H46" s="28"/>
      <c r="I46" s="28"/>
    </row>
    <row r="47" spans="1:6" s="2" customFormat="1" ht="24.75" customHeight="1">
      <c r="A47" s="109" t="s">
        <v>10</v>
      </c>
      <c r="B47" s="8">
        <f t="shared" si="0"/>
        <v>0</v>
      </c>
      <c r="C47" s="8"/>
      <c r="D47" s="8"/>
      <c r="E47" s="20">
        <f>E48+E49</f>
        <v>0</v>
      </c>
      <c r="F47" s="21">
        <f>F48+F49</f>
        <v>0</v>
      </c>
    </row>
    <row r="48" spans="1:6" s="2" customFormat="1" ht="24.75" customHeight="1">
      <c r="A48" s="109" t="s">
        <v>11</v>
      </c>
      <c r="B48" s="8">
        <f t="shared" si="0"/>
        <v>0</v>
      </c>
      <c r="C48" s="10"/>
      <c r="D48" s="8"/>
      <c r="E48" s="10"/>
      <c r="F48" s="17"/>
    </row>
    <row r="49" spans="1:6" s="2" customFormat="1" ht="24.75" customHeight="1">
      <c r="A49" s="109" t="s">
        <v>12</v>
      </c>
      <c r="B49" s="8">
        <f t="shared" si="0"/>
        <v>0</v>
      </c>
      <c r="C49" s="10"/>
      <c r="D49" s="8"/>
      <c r="E49" s="10"/>
      <c r="F49" s="17"/>
    </row>
    <row r="50" spans="1:6" s="2" customFormat="1" ht="24.75" customHeight="1">
      <c r="A50" s="111" t="s">
        <v>4</v>
      </c>
      <c r="B50" s="8">
        <f t="shared" si="0"/>
        <v>834.087</v>
      </c>
      <c r="C50" s="20">
        <f>C51+C52</f>
        <v>834.087</v>
      </c>
      <c r="D50" s="8"/>
      <c r="E50" s="8"/>
      <c r="F50" s="9"/>
    </row>
    <row r="51" spans="1:6" s="2" customFormat="1" ht="24.75" customHeight="1">
      <c r="A51" s="109" t="s">
        <v>13</v>
      </c>
      <c r="B51" s="8">
        <f t="shared" si="0"/>
        <v>834.087</v>
      </c>
      <c r="C51" s="20">
        <v>834.087</v>
      </c>
      <c r="D51" s="8"/>
      <c r="E51" s="20">
        <f>E50-E52</f>
        <v>0</v>
      </c>
      <c r="F51" s="21">
        <f>F50-F52</f>
        <v>0</v>
      </c>
    </row>
    <row r="52" spans="1:6" s="2" customFormat="1" ht="50.25" customHeight="1">
      <c r="A52" s="109" t="s">
        <v>10</v>
      </c>
      <c r="B52" s="8">
        <f t="shared" si="0"/>
        <v>0</v>
      </c>
      <c r="C52" s="20">
        <f>C53+C54</f>
        <v>0</v>
      </c>
      <c r="D52" s="8"/>
      <c r="E52" s="20">
        <f>E53+E54</f>
        <v>0</v>
      </c>
      <c r="F52" s="21">
        <f>F53+F54</f>
        <v>0</v>
      </c>
    </row>
    <row r="53" spans="1:6" s="2" customFormat="1" ht="26.25" customHeight="1">
      <c r="A53" s="109" t="s">
        <v>11</v>
      </c>
      <c r="B53" s="8">
        <f t="shared" si="0"/>
        <v>0</v>
      </c>
      <c r="C53" s="93"/>
      <c r="D53" s="8"/>
      <c r="E53" s="8"/>
      <c r="F53" s="9"/>
    </row>
    <row r="54" spans="1:6" s="2" customFormat="1" ht="26.25" customHeight="1">
      <c r="A54" s="109" t="s">
        <v>12</v>
      </c>
      <c r="B54" s="8">
        <f t="shared" si="0"/>
        <v>0</v>
      </c>
      <c r="C54" s="93"/>
      <c r="D54" s="8"/>
      <c r="E54" s="8"/>
      <c r="F54" s="9"/>
    </row>
    <row r="55" spans="1:6" s="2" customFormat="1" ht="45" customHeight="1">
      <c r="A55" s="110" t="s">
        <v>62</v>
      </c>
      <c r="B55" s="8">
        <f>C55+D55+E55+F55</f>
        <v>1089.252</v>
      </c>
      <c r="C55" s="8">
        <f>C56+C57</f>
        <v>0</v>
      </c>
      <c r="D55" s="8">
        <f>D56+D57</f>
        <v>0</v>
      </c>
      <c r="E55" s="8">
        <f>E56+E57</f>
        <v>551.423</v>
      </c>
      <c r="F55" s="9">
        <f>F56+F57</f>
        <v>537.829</v>
      </c>
    </row>
    <row r="56" spans="1:9" s="2" customFormat="1" ht="26.25" customHeight="1">
      <c r="A56" s="109" t="s">
        <v>13</v>
      </c>
      <c r="B56" s="8">
        <f>F56+E56+D56+C56</f>
        <v>710.65</v>
      </c>
      <c r="C56" s="93"/>
      <c r="D56" s="8"/>
      <c r="E56" s="8">
        <v>551.423</v>
      </c>
      <c r="F56" s="9">
        <v>159.227</v>
      </c>
      <c r="H56" s="67"/>
      <c r="I56" s="67"/>
    </row>
    <row r="57" spans="1:6" s="2" customFormat="1" ht="24.75" customHeight="1">
      <c r="A57" s="109" t="s">
        <v>10</v>
      </c>
      <c r="B57" s="8">
        <f aca="true" t="shared" si="1" ref="B57:B100">C57+D57+E57+F57</f>
        <v>378.602</v>
      </c>
      <c r="C57" s="93"/>
      <c r="D57" s="8"/>
      <c r="E57" s="8">
        <f>E59+E58</f>
        <v>0</v>
      </c>
      <c r="F57" s="9">
        <f>F59+F58</f>
        <v>378.602</v>
      </c>
    </row>
    <row r="58" spans="1:6" s="2" customFormat="1" ht="21.75" customHeight="1">
      <c r="A58" s="109" t="s">
        <v>11</v>
      </c>
      <c r="B58" s="8">
        <f t="shared" si="1"/>
        <v>328.88</v>
      </c>
      <c r="C58" s="93"/>
      <c r="D58" s="8"/>
      <c r="E58" s="8"/>
      <c r="F58" s="17">
        <v>328.88</v>
      </c>
    </row>
    <row r="59" spans="1:6" s="2" customFormat="1" ht="16.5" customHeight="1">
      <c r="A59" s="109" t="s">
        <v>12</v>
      </c>
      <c r="B59" s="8">
        <f t="shared" si="1"/>
        <v>49.722</v>
      </c>
      <c r="C59" s="93"/>
      <c r="D59" s="8"/>
      <c r="E59" s="8"/>
      <c r="F59" s="17">
        <v>49.722</v>
      </c>
    </row>
    <row r="60" spans="1:6" s="2" customFormat="1" ht="18" customHeight="1">
      <c r="A60" s="110" t="s">
        <v>28</v>
      </c>
      <c r="B60" s="8">
        <f t="shared" si="1"/>
        <v>2057.83</v>
      </c>
      <c r="C60" s="8">
        <f>C61+C62</f>
        <v>2041.83</v>
      </c>
      <c r="D60" s="8"/>
      <c r="E60" s="8">
        <f>E61+E62</f>
        <v>0</v>
      </c>
      <c r="F60" s="9">
        <f>F61+F62</f>
        <v>16</v>
      </c>
    </row>
    <row r="61" spans="1:6" s="2" customFormat="1" ht="18" customHeight="1">
      <c r="A61" s="109" t="s">
        <v>13</v>
      </c>
      <c r="B61" s="8">
        <f t="shared" si="1"/>
        <v>2057.83</v>
      </c>
      <c r="C61" s="20">
        <v>2041.83</v>
      </c>
      <c r="D61" s="20"/>
      <c r="E61" s="20"/>
      <c r="F61" s="21">
        <v>16</v>
      </c>
    </row>
    <row r="62" spans="1:6" s="2" customFormat="1" ht="24.75" customHeight="1">
      <c r="A62" s="109" t="s">
        <v>10</v>
      </c>
      <c r="B62" s="8">
        <f t="shared" si="1"/>
        <v>0</v>
      </c>
      <c r="C62" s="93"/>
      <c r="D62" s="8"/>
      <c r="E62" s="8">
        <f>E64+E63</f>
        <v>0</v>
      </c>
      <c r="F62" s="9">
        <f>F64+F63</f>
        <v>0</v>
      </c>
    </row>
    <row r="63" spans="1:6" s="2" customFormat="1" ht="21.75" customHeight="1">
      <c r="A63" s="109" t="s">
        <v>11</v>
      </c>
      <c r="B63" s="8">
        <f t="shared" si="1"/>
        <v>0</v>
      </c>
      <c r="C63" s="93"/>
      <c r="D63" s="8"/>
      <c r="E63" s="10"/>
      <c r="F63" s="17"/>
    </row>
    <row r="64" spans="1:6" s="2" customFormat="1" ht="18" customHeight="1">
      <c r="A64" s="109" t="s">
        <v>12</v>
      </c>
      <c r="B64" s="8">
        <f t="shared" si="1"/>
        <v>0</v>
      </c>
      <c r="C64" s="93"/>
      <c r="D64" s="8"/>
      <c r="E64" s="10"/>
      <c r="F64" s="17"/>
    </row>
    <row r="65" spans="1:6" s="2" customFormat="1" ht="19.5" customHeight="1">
      <c r="A65" s="110" t="s">
        <v>63</v>
      </c>
      <c r="B65" s="8">
        <f t="shared" si="1"/>
        <v>0</v>
      </c>
      <c r="C65" s="8">
        <f>C66+C67</f>
        <v>0</v>
      </c>
      <c r="D65" s="8"/>
      <c r="E65" s="8">
        <f>E66+E67</f>
        <v>0</v>
      </c>
      <c r="F65" s="9">
        <f>F66+F67</f>
        <v>0</v>
      </c>
    </row>
    <row r="66" spans="1:6" s="2" customFormat="1" ht="19.5" customHeight="1">
      <c r="A66" s="109" t="s">
        <v>13</v>
      </c>
      <c r="B66" s="8">
        <f t="shared" si="1"/>
        <v>0</v>
      </c>
      <c r="C66" s="113"/>
      <c r="D66" s="113"/>
      <c r="E66" s="113"/>
      <c r="F66" s="114"/>
    </row>
    <row r="67" spans="1:7" s="57" customFormat="1" ht="24.75" customHeight="1">
      <c r="A67" s="109" t="s">
        <v>10</v>
      </c>
      <c r="B67" s="8">
        <f t="shared" si="1"/>
        <v>0</v>
      </c>
      <c r="C67" s="93"/>
      <c r="D67" s="8"/>
      <c r="E67" s="8">
        <f>E69+E68</f>
        <v>0</v>
      </c>
      <c r="F67" s="9">
        <f>F69+F68</f>
        <v>0</v>
      </c>
      <c r="G67" s="56"/>
    </row>
    <row r="68" spans="1:6" s="57" customFormat="1" ht="18.75" customHeight="1">
      <c r="A68" s="109" t="s">
        <v>11</v>
      </c>
      <c r="B68" s="8">
        <f t="shared" si="1"/>
        <v>0</v>
      </c>
      <c r="C68" s="93"/>
      <c r="D68" s="8"/>
      <c r="E68" s="10"/>
      <c r="F68" s="17"/>
    </row>
    <row r="69" spans="1:7" s="57" customFormat="1" ht="26.25" customHeight="1">
      <c r="A69" s="109" t="s">
        <v>12</v>
      </c>
      <c r="B69" s="8">
        <f t="shared" si="1"/>
        <v>0</v>
      </c>
      <c r="C69" s="93"/>
      <c r="D69" s="8"/>
      <c r="E69" s="10"/>
      <c r="F69" s="17"/>
      <c r="G69" s="56"/>
    </row>
    <row r="70" spans="1:7" s="61" customFormat="1" ht="30" customHeight="1">
      <c r="A70" s="110" t="s">
        <v>25</v>
      </c>
      <c r="B70" s="8">
        <f t="shared" si="1"/>
        <v>91.316</v>
      </c>
      <c r="C70" s="93"/>
      <c r="D70" s="8"/>
      <c r="E70" s="8">
        <f>E71+E72</f>
        <v>0</v>
      </c>
      <c r="F70" s="9">
        <f>F71+F72</f>
        <v>91.316</v>
      </c>
      <c r="G70" s="60"/>
    </row>
    <row r="71" spans="1:7" s="57" customFormat="1" ht="26.25" customHeight="1">
      <c r="A71" s="109" t="s">
        <v>13</v>
      </c>
      <c r="B71" s="8">
        <f t="shared" si="1"/>
        <v>22.698</v>
      </c>
      <c r="C71" s="93"/>
      <c r="D71" s="8"/>
      <c r="E71" s="8"/>
      <c r="F71" s="115">
        <v>22.698</v>
      </c>
      <c r="G71" s="56"/>
    </row>
    <row r="72" spans="1:6" s="6" customFormat="1" ht="36.75" customHeight="1">
      <c r="A72" s="109" t="s">
        <v>10</v>
      </c>
      <c r="B72" s="8">
        <f t="shared" si="1"/>
        <v>68.618</v>
      </c>
      <c r="C72" s="93"/>
      <c r="D72" s="8"/>
      <c r="E72" s="8">
        <f>E74+E73</f>
        <v>0</v>
      </c>
      <c r="F72" s="9">
        <f>F74+F73</f>
        <v>68.618</v>
      </c>
    </row>
    <row r="73" spans="1:9" s="3" customFormat="1" ht="36.75" customHeight="1">
      <c r="A73" s="109" t="s">
        <v>11</v>
      </c>
      <c r="B73" s="8">
        <f t="shared" si="1"/>
        <v>68.618</v>
      </c>
      <c r="C73" s="93"/>
      <c r="D73" s="8"/>
      <c r="E73" s="10"/>
      <c r="F73" s="17">
        <v>68.618</v>
      </c>
      <c r="I73" s="68"/>
    </row>
    <row r="74" spans="1:9" s="3" customFormat="1" ht="45" customHeight="1">
      <c r="A74" s="109" t="s">
        <v>12</v>
      </c>
      <c r="B74" s="8">
        <f t="shared" si="1"/>
        <v>0</v>
      </c>
      <c r="C74" s="93"/>
      <c r="D74" s="8"/>
      <c r="E74" s="10"/>
      <c r="F74" s="17"/>
      <c r="G74" s="35"/>
      <c r="H74" s="35"/>
      <c r="I74" s="35"/>
    </row>
    <row r="75" spans="1:6" s="6" customFormat="1" ht="40.5" customHeight="1">
      <c r="A75" s="110" t="s">
        <v>64</v>
      </c>
      <c r="B75" s="8">
        <f t="shared" si="1"/>
        <v>309.725</v>
      </c>
      <c r="C75" s="93"/>
      <c r="D75" s="8"/>
      <c r="E75" s="8">
        <f>E76+E77</f>
        <v>14.875</v>
      </c>
      <c r="F75" s="9">
        <f>F76+F77</f>
        <v>294.85</v>
      </c>
    </row>
    <row r="76" spans="1:6" s="3" customFormat="1" ht="26.25" customHeight="1">
      <c r="A76" s="109" t="s">
        <v>13</v>
      </c>
      <c r="B76" s="8">
        <f t="shared" si="1"/>
        <v>86.809</v>
      </c>
      <c r="C76" s="93"/>
      <c r="D76" s="8"/>
      <c r="E76" s="8">
        <v>14.875</v>
      </c>
      <c r="F76" s="115">
        <v>71.934</v>
      </c>
    </row>
    <row r="77" spans="1:7" s="3" customFormat="1" ht="18.75">
      <c r="A77" s="109" t="s">
        <v>10</v>
      </c>
      <c r="B77" s="8">
        <f t="shared" si="1"/>
        <v>222.916</v>
      </c>
      <c r="C77" s="93"/>
      <c r="D77" s="8"/>
      <c r="E77" s="8">
        <f>E79+E78</f>
        <v>0</v>
      </c>
      <c r="F77" s="9">
        <f>F79+F78</f>
        <v>222.916</v>
      </c>
      <c r="G77" s="39"/>
    </row>
    <row r="78" spans="1:6" ht="18.75">
      <c r="A78" s="109" t="s">
        <v>11</v>
      </c>
      <c r="B78" s="8">
        <f t="shared" si="1"/>
        <v>0</v>
      </c>
      <c r="C78" s="93"/>
      <c r="D78" s="8"/>
      <c r="E78" s="8"/>
      <c r="F78" s="9"/>
    </row>
    <row r="79" spans="1:6" ht="18.75">
      <c r="A79" s="109" t="s">
        <v>12</v>
      </c>
      <c r="B79" s="8">
        <f t="shared" si="1"/>
        <v>222.916</v>
      </c>
      <c r="C79" s="93"/>
      <c r="D79" s="8"/>
      <c r="E79" s="8"/>
      <c r="F79" s="9">
        <v>222.916</v>
      </c>
    </row>
    <row r="80" spans="1:6" ht="18">
      <c r="A80" s="110" t="s">
        <v>8</v>
      </c>
      <c r="B80" s="8">
        <f t="shared" si="1"/>
        <v>1177.065</v>
      </c>
      <c r="C80" s="20">
        <f>C81+C82</f>
        <v>0</v>
      </c>
      <c r="D80" s="8"/>
      <c r="E80" s="20">
        <f>E81+E82</f>
        <v>586.6030000000001</v>
      </c>
      <c r="F80" s="21">
        <f>F81+F82</f>
        <v>590.462</v>
      </c>
    </row>
    <row r="81" spans="1:6" ht="18.75">
      <c r="A81" s="109" t="s">
        <v>13</v>
      </c>
      <c r="B81" s="8">
        <f t="shared" si="1"/>
        <v>679.1890000000001</v>
      </c>
      <c r="C81" s="8"/>
      <c r="D81" s="8"/>
      <c r="E81" s="20">
        <v>469.663</v>
      </c>
      <c r="F81" s="21">
        <v>209.526</v>
      </c>
    </row>
    <row r="82" spans="1:6" ht="18.75">
      <c r="A82" s="109" t="s">
        <v>10</v>
      </c>
      <c r="B82" s="8">
        <f t="shared" si="1"/>
        <v>497.87600000000003</v>
      </c>
      <c r="C82" s="8"/>
      <c r="D82" s="8"/>
      <c r="E82" s="20">
        <f>E83+E84</f>
        <v>116.94</v>
      </c>
      <c r="F82" s="21">
        <f>F83+F84</f>
        <v>380.93600000000004</v>
      </c>
    </row>
    <row r="83" spans="1:6" ht="18.75">
      <c r="A83" s="109" t="s">
        <v>11</v>
      </c>
      <c r="B83" s="8">
        <f t="shared" si="1"/>
        <v>400.348</v>
      </c>
      <c r="C83" s="8"/>
      <c r="D83" s="8"/>
      <c r="E83" s="93">
        <v>115.094</v>
      </c>
      <c r="F83" s="94">
        <f>273.834+11.42</f>
        <v>285.254</v>
      </c>
    </row>
    <row r="84" spans="1:6" ht="18.75">
      <c r="A84" s="109" t="s">
        <v>12</v>
      </c>
      <c r="B84" s="8">
        <f t="shared" si="1"/>
        <v>97.528</v>
      </c>
      <c r="C84" s="8"/>
      <c r="D84" s="8"/>
      <c r="E84" s="93">
        <v>1.846</v>
      </c>
      <c r="F84" s="94">
        <v>95.682</v>
      </c>
    </row>
    <row r="85" spans="1:6" ht="18">
      <c r="A85" s="110" t="s">
        <v>5</v>
      </c>
      <c r="B85" s="8">
        <f t="shared" si="1"/>
        <v>3435.1859999999997</v>
      </c>
      <c r="C85" s="20">
        <f>C86+C87</f>
        <v>479.344</v>
      </c>
      <c r="D85" s="8"/>
      <c r="E85" s="20">
        <f>E86+E87</f>
        <v>1936.7340000000002</v>
      </c>
      <c r="F85" s="21">
        <f>F86+F87</f>
        <v>1019.108</v>
      </c>
    </row>
    <row r="86" spans="1:6" ht="18.75">
      <c r="A86" s="109" t="s">
        <v>13</v>
      </c>
      <c r="B86" s="8">
        <f t="shared" si="1"/>
        <v>2267.3700000000003</v>
      </c>
      <c r="C86" s="20">
        <v>479.344</v>
      </c>
      <c r="D86" s="8"/>
      <c r="E86" s="20">
        <v>1338.813</v>
      </c>
      <c r="F86" s="21">
        <v>449.213</v>
      </c>
    </row>
    <row r="87" spans="1:6" ht="18.75">
      <c r="A87" s="109" t="s">
        <v>10</v>
      </c>
      <c r="B87" s="8">
        <f t="shared" si="1"/>
        <v>1167.816</v>
      </c>
      <c r="C87" s="8"/>
      <c r="D87" s="8"/>
      <c r="E87" s="20">
        <f>E88+E89</f>
        <v>597.921</v>
      </c>
      <c r="F87" s="21">
        <f>F88+F89</f>
        <v>569.895</v>
      </c>
    </row>
    <row r="88" spans="1:6" ht="18.75">
      <c r="A88" s="109" t="s">
        <v>11</v>
      </c>
      <c r="B88" s="8">
        <f t="shared" si="1"/>
        <v>1154.7359999999999</v>
      </c>
      <c r="C88" s="93"/>
      <c r="D88" s="93"/>
      <c r="E88" s="93">
        <f>563.111+21.73</f>
        <v>584.841</v>
      </c>
      <c r="F88" s="94">
        <f>497.967+71.928</f>
        <v>569.895</v>
      </c>
    </row>
    <row r="89" spans="1:6" ht="18.75">
      <c r="A89" s="109" t="s">
        <v>12</v>
      </c>
      <c r="B89" s="8">
        <f t="shared" si="1"/>
        <v>13.08</v>
      </c>
      <c r="C89" s="93"/>
      <c r="D89" s="93"/>
      <c r="E89" s="93">
        <v>13.08</v>
      </c>
      <c r="F89" s="94"/>
    </row>
    <row r="90" spans="1:6" ht="18">
      <c r="A90" s="110" t="s">
        <v>65</v>
      </c>
      <c r="B90" s="8">
        <f t="shared" si="1"/>
        <v>6903.575</v>
      </c>
      <c r="C90" s="20"/>
      <c r="D90" s="8"/>
      <c r="E90" s="20">
        <f>E91+E92</f>
        <v>1591.593</v>
      </c>
      <c r="F90" s="21">
        <f>F91+F92</f>
        <v>5311.982</v>
      </c>
    </row>
    <row r="91" spans="1:6" ht="18.75">
      <c r="A91" s="109" t="s">
        <v>13</v>
      </c>
      <c r="B91" s="8">
        <f t="shared" si="1"/>
        <v>3473.978</v>
      </c>
      <c r="C91" s="8"/>
      <c r="D91" s="8"/>
      <c r="E91" s="20">
        <v>1539.642</v>
      </c>
      <c r="F91" s="21">
        <v>1934.336</v>
      </c>
    </row>
    <row r="92" spans="1:6" ht="18.75">
      <c r="A92" s="109" t="s">
        <v>10</v>
      </c>
      <c r="B92" s="8">
        <f t="shared" si="1"/>
        <v>3429.597</v>
      </c>
      <c r="C92" s="8"/>
      <c r="D92" s="8"/>
      <c r="E92" s="20">
        <f>E93+E94</f>
        <v>51.951</v>
      </c>
      <c r="F92" s="21">
        <f>F93+F94</f>
        <v>3377.646</v>
      </c>
    </row>
    <row r="93" spans="1:6" ht="18.75">
      <c r="A93" s="109" t="s">
        <v>11</v>
      </c>
      <c r="B93" s="8">
        <f t="shared" si="1"/>
        <v>842.712</v>
      </c>
      <c r="C93" s="10"/>
      <c r="D93" s="8"/>
      <c r="E93" s="93">
        <v>24.475</v>
      </c>
      <c r="F93" s="94">
        <v>818.237</v>
      </c>
    </row>
    <row r="94" spans="1:6" ht="19.5" thickBot="1">
      <c r="A94" s="116" t="s">
        <v>12</v>
      </c>
      <c r="B94" s="22">
        <f t="shared" si="1"/>
        <v>2586.885</v>
      </c>
      <c r="C94" s="24"/>
      <c r="D94" s="22"/>
      <c r="E94" s="126">
        <v>27.476</v>
      </c>
      <c r="F94" s="127">
        <v>2559.409</v>
      </c>
    </row>
    <row r="95" spans="1:6" ht="18">
      <c r="A95" s="54" t="s">
        <v>21</v>
      </c>
      <c r="B95" s="55">
        <f t="shared" si="1"/>
        <v>309.642</v>
      </c>
      <c r="C95" s="32"/>
      <c r="D95" s="32"/>
      <c r="E95" s="119">
        <v>309.642</v>
      </c>
      <c r="F95" s="33"/>
    </row>
    <row r="96" spans="1:6" ht="18">
      <c r="A96" s="31" t="s">
        <v>22</v>
      </c>
      <c r="B96" s="5">
        <f t="shared" si="1"/>
        <v>68.645</v>
      </c>
      <c r="C96" s="8"/>
      <c r="D96" s="8"/>
      <c r="E96" s="93">
        <v>68.645</v>
      </c>
      <c r="F96" s="9"/>
    </row>
    <row r="97" spans="1:6" ht="18">
      <c r="A97" s="31" t="s">
        <v>27</v>
      </c>
      <c r="B97" s="5">
        <f t="shared" si="1"/>
        <v>679.759</v>
      </c>
      <c r="C97" s="11"/>
      <c r="D97" s="11"/>
      <c r="E97" s="11">
        <v>596.791</v>
      </c>
      <c r="F97" s="12">
        <v>82.968</v>
      </c>
    </row>
    <row r="98" spans="1:6" ht="18">
      <c r="A98" s="31" t="s">
        <v>23</v>
      </c>
      <c r="B98" s="5">
        <f t="shared" si="1"/>
        <v>823.665</v>
      </c>
      <c r="C98" s="11">
        <v>483.702</v>
      </c>
      <c r="D98" s="11"/>
      <c r="E98" s="11">
        <v>160.256</v>
      </c>
      <c r="F98" s="12">
        <v>179.707</v>
      </c>
    </row>
    <row r="99" spans="1:6" ht="18.75" thickBot="1">
      <c r="A99" s="120" t="s">
        <v>24</v>
      </c>
      <c r="B99" s="121">
        <f t="shared" si="1"/>
        <v>733.187</v>
      </c>
      <c r="C99" s="141"/>
      <c r="D99" s="141"/>
      <c r="E99" s="141">
        <v>733.187</v>
      </c>
      <c r="F99" s="142"/>
    </row>
    <row r="100" spans="1:6" ht="18.75" thickBot="1">
      <c r="A100" s="30" t="s">
        <v>66</v>
      </c>
      <c r="B100" s="50">
        <f t="shared" si="1"/>
        <v>144502.815</v>
      </c>
      <c r="C100" s="124">
        <f>C5+C10+C15+C20+C25+C30+C35+C40+C45+C50+C55+C60+C65+C70+C75+C80+C85+C90+C95+C96+C97+C98+C99</f>
        <v>60051.027</v>
      </c>
      <c r="D100" s="124">
        <f>D5+D10+D15+D20+D25+D30+D35+D40+D45+D50+D55+D60+D65+D70+D75+D80+D85+D90+D95+D96+D97+D98+D99</f>
        <v>2424.639</v>
      </c>
      <c r="E100" s="124">
        <f>E5+E10+E15+E20+E25+E30+E35+E40+E45+E50+E55+E60+E65+E70+E75+E80+E85+E90+E95+E96+E97+E98+E99</f>
        <v>36265.240999999995</v>
      </c>
      <c r="F100" s="51">
        <f>F5+F10+F15+F20+F25+F30+F35+F40+F45+F50+F55+F60+F65+F70+F75+F80+F85+F90+F95+F96+F97+F98+F99</f>
        <v>45761.907999999996</v>
      </c>
    </row>
    <row r="101" spans="1:2" ht="12.75">
      <c r="A101" s="3"/>
      <c r="B101" s="3"/>
    </row>
  </sheetData>
  <sheetProtection/>
  <mergeCells count="2">
    <mergeCell ref="A1:F1"/>
    <mergeCell ref="A2:F2"/>
  </mergeCells>
  <printOptions horizont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="60" zoomScaleNormal="60" zoomScalePageLayoutView="0" workbookViewId="0" topLeftCell="A1">
      <pane xSplit="1" ySplit="4" topLeftCell="B5" activePane="bottomRight" state="frozen"/>
      <selection pane="topLeft" activeCell="I49" sqref="I49"/>
      <selection pane="topRight" activeCell="I49" sqref="I49"/>
      <selection pane="bottomLeft" activeCell="I49" sqref="I49"/>
      <selection pane="bottomRight" activeCell="O12" sqref="O12"/>
    </sheetView>
  </sheetViews>
  <sheetFormatPr defaultColWidth="9.00390625" defaultRowHeight="12.75"/>
  <cols>
    <col min="1" max="1" width="56.00390625" style="0" customWidth="1"/>
    <col min="2" max="2" width="25.25390625" style="0" customWidth="1"/>
    <col min="3" max="6" width="25.25390625" style="3" customWidth="1"/>
    <col min="7" max="8" width="9.125" style="3" customWidth="1"/>
  </cols>
  <sheetData>
    <row r="1" spans="1:6" s="41" customFormat="1" ht="47.25" customHeight="1">
      <c r="A1" s="162" t="s">
        <v>32</v>
      </c>
      <c r="B1" s="162"/>
      <c r="C1" s="162"/>
      <c r="D1" s="162"/>
      <c r="E1" s="162"/>
      <c r="F1" s="162"/>
    </row>
    <row r="2" spans="1:6" s="42" customFormat="1" ht="23.25">
      <c r="A2" s="163" t="s">
        <v>41</v>
      </c>
      <c r="B2" s="163"/>
      <c r="C2" s="163"/>
      <c r="D2" s="164"/>
      <c r="E2" s="164"/>
      <c r="F2" s="164"/>
    </row>
    <row r="3" spans="1:6" ht="18.75" thickBot="1">
      <c r="A3" s="3"/>
      <c r="B3" s="3"/>
      <c r="F3" s="73" t="s">
        <v>31</v>
      </c>
    </row>
    <row r="4" spans="1:6" s="1" customFormat="1" ht="29.25" customHeight="1" thickBot="1">
      <c r="A4" s="43" t="s">
        <v>16</v>
      </c>
      <c r="B4" s="44"/>
      <c r="C4" s="45" t="s">
        <v>0</v>
      </c>
      <c r="D4" s="45" t="s">
        <v>1</v>
      </c>
      <c r="E4" s="45" t="s">
        <v>2</v>
      </c>
      <c r="F4" s="46" t="s">
        <v>3</v>
      </c>
    </row>
    <row r="5" spans="1:6" s="2" customFormat="1" ht="38.25" customHeight="1">
      <c r="A5" s="108" t="s">
        <v>57</v>
      </c>
      <c r="B5" s="128">
        <f>C5+D5+E5+F5</f>
        <v>96923.25</v>
      </c>
      <c r="C5" s="8">
        <f>C6+C7</f>
        <v>45435.367</v>
      </c>
      <c r="D5" s="8">
        <f>D6+D7</f>
        <v>1558.846</v>
      </c>
      <c r="E5" s="8">
        <f>E6+E7</f>
        <v>22535.984</v>
      </c>
      <c r="F5" s="9">
        <f>F6+F7</f>
        <v>27393.053</v>
      </c>
    </row>
    <row r="6" spans="1:6" s="2" customFormat="1" ht="27" customHeight="1">
      <c r="A6" s="109" t="s">
        <v>13</v>
      </c>
      <c r="B6" s="8">
        <f aca="true" t="shared" si="0" ref="B6:B55">C6+D6+E6+F6</f>
        <v>80984.489</v>
      </c>
      <c r="C6" s="8">
        <f>45435.367-C7</f>
        <v>45403.74</v>
      </c>
      <c r="D6" s="8">
        <f>1558.846-D7</f>
        <v>1557.566</v>
      </c>
      <c r="E6" s="8">
        <f>22535.984-E7</f>
        <v>21685.43</v>
      </c>
      <c r="F6" s="9">
        <f>27393.053-F7</f>
        <v>12337.752999999999</v>
      </c>
    </row>
    <row r="7" spans="1:6" s="2" customFormat="1" ht="20.25" customHeight="1">
      <c r="A7" s="109" t="s">
        <v>10</v>
      </c>
      <c r="B7" s="8">
        <f t="shared" si="0"/>
        <v>15938.761</v>
      </c>
      <c r="C7" s="8">
        <f>C8+C9</f>
        <v>31.627000000000002</v>
      </c>
      <c r="D7" s="20">
        <f>D8+D9</f>
        <v>1.28</v>
      </c>
      <c r="E7" s="20">
        <f>E8+E9</f>
        <v>850.554</v>
      </c>
      <c r="F7" s="21">
        <f>F8+F9</f>
        <v>15055.300000000001</v>
      </c>
    </row>
    <row r="8" spans="1:6" s="2" customFormat="1" ht="21.75" customHeight="1">
      <c r="A8" s="109" t="s">
        <v>11</v>
      </c>
      <c r="B8" s="8">
        <f t="shared" si="0"/>
        <v>4601.195000000001</v>
      </c>
      <c r="C8" s="93">
        <v>12.685</v>
      </c>
      <c r="D8" s="93"/>
      <c r="E8" s="93">
        <v>177.231</v>
      </c>
      <c r="F8" s="94">
        <v>4411.279</v>
      </c>
    </row>
    <row r="9" spans="1:6" s="2" customFormat="1" ht="24.75" customHeight="1">
      <c r="A9" s="109" t="s">
        <v>12</v>
      </c>
      <c r="B9" s="8">
        <f t="shared" si="0"/>
        <v>11337.566</v>
      </c>
      <c r="C9" s="93">
        <v>18.942</v>
      </c>
      <c r="D9" s="93">
        <v>1.28</v>
      </c>
      <c r="E9" s="93">
        <v>673.323</v>
      </c>
      <c r="F9" s="94">
        <v>10644.021</v>
      </c>
    </row>
    <row r="10" spans="1:6" s="2" customFormat="1" ht="47.25" customHeight="1">
      <c r="A10" s="110" t="s">
        <v>58</v>
      </c>
      <c r="B10" s="8">
        <f t="shared" si="0"/>
        <v>6787.338</v>
      </c>
      <c r="C10" s="20">
        <f>C11+C12</f>
        <v>1072.51</v>
      </c>
      <c r="D10" s="20"/>
      <c r="E10" s="20">
        <f>E11+E12</f>
        <v>2530.532</v>
      </c>
      <c r="F10" s="21">
        <f>F11+F12</f>
        <v>3184.296</v>
      </c>
    </row>
    <row r="11" spans="1:6" s="2" customFormat="1" ht="21.75" customHeight="1">
      <c r="A11" s="109" t="s">
        <v>13</v>
      </c>
      <c r="B11" s="8">
        <f t="shared" si="0"/>
        <v>4359.521000000001</v>
      </c>
      <c r="C11" s="8">
        <v>982.418</v>
      </c>
      <c r="D11" s="8"/>
      <c r="E11" s="8">
        <v>2105.306</v>
      </c>
      <c r="F11" s="9">
        <v>1271.797</v>
      </c>
    </row>
    <row r="12" spans="1:6" s="2" customFormat="1" ht="19.5" customHeight="1">
      <c r="A12" s="109" t="s">
        <v>10</v>
      </c>
      <c r="B12" s="8">
        <f t="shared" si="0"/>
        <v>2427.817</v>
      </c>
      <c r="C12" s="20">
        <f>C13+C14</f>
        <v>90.092</v>
      </c>
      <c r="D12" s="8"/>
      <c r="E12" s="20">
        <f>E13+E14</f>
        <v>425.226</v>
      </c>
      <c r="F12" s="21">
        <f>F13+F14</f>
        <v>1912.4989999999998</v>
      </c>
    </row>
    <row r="13" spans="1:6" s="2" customFormat="1" ht="17.25" customHeight="1">
      <c r="A13" s="109" t="s">
        <v>11</v>
      </c>
      <c r="B13" s="8">
        <f t="shared" si="0"/>
        <v>1367.0549999999998</v>
      </c>
      <c r="C13" s="93"/>
      <c r="D13" s="93"/>
      <c r="E13" s="93">
        <v>62.533</v>
      </c>
      <c r="F13" s="94">
        <v>1304.522</v>
      </c>
    </row>
    <row r="14" spans="1:6" s="2" customFormat="1" ht="17.25" customHeight="1">
      <c r="A14" s="109" t="s">
        <v>12</v>
      </c>
      <c r="B14" s="8">
        <f t="shared" si="0"/>
        <v>1060.762</v>
      </c>
      <c r="C14" s="93">
        <v>90.092</v>
      </c>
      <c r="D14" s="93"/>
      <c r="E14" s="93">
        <v>362.693</v>
      </c>
      <c r="F14" s="94">
        <v>607.977</v>
      </c>
    </row>
    <row r="15" spans="1:6" s="2" customFormat="1" ht="35.25" customHeight="1">
      <c r="A15" s="110" t="s">
        <v>6</v>
      </c>
      <c r="B15" s="8">
        <f t="shared" si="0"/>
        <v>1677.09</v>
      </c>
      <c r="C15" s="20">
        <f>C16+C17</f>
        <v>1677.09</v>
      </c>
      <c r="D15" s="8"/>
      <c r="E15" s="8"/>
      <c r="F15" s="9"/>
    </row>
    <row r="16" spans="1:6" s="2" customFormat="1" ht="19.5" customHeight="1">
      <c r="A16" s="109" t="s">
        <v>13</v>
      </c>
      <c r="B16" s="8">
        <f t="shared" si="0"/>
        <v>1676.742</v>
      </c>
      <c r="C16" s="8">
        <v>1676.742</v>
      </c>
      <c r="D16" s="8"/>
      <c r="E16" s="20"/>
      <c r="F16" s="21"/>
    </row>
    <row r="17" spans="1:6" s="2" customFormat="1" ht="18" customHeight="1">
      <c r="A17" s="109" t="s">
        <v>10</v>
      </c>
      <c r="B17" s="8">
        <f t="shared" si="0"/>
        <v>0.348</v>
      </c>
      <c r="C17" s="20">
        <f>C18+C19</f>
        <v>0.348</v>
      </c>
      <c r="D17" s="8"/>
      <c r="E17" s="20"/>
      <c r="F17" s="21"/>
    </row>
    <row r="18" spans="1:6" s="2" customFormat="1" ht="19.5" customHeight="1">
      <c r="A18" s="109" t="s">
        <v>11</v>
      </c>
      <c r="B18" s="8">
        <f t="shared" si="0"/>
        <v>0.348</v>
      </c>
      <c r="C18" s="93">
        <v>0.348</v>
      </c>
      <c r="D18" s="93"/>
      <c r="E18" s="93"/>
      <c r="F18" s="94"/>
    </row>
    <row r="19" spans="1:6" s="2" customFormat="1" ht="19.5" customHeight="1">
      <c r="A19" s="109" t="s">
        <v>12</v>
      </c>
      <c r="B19" s="8">
        <f t="shared" si="0"/>
        <v>0</v>
      </c>
      <c r="C19" s="93"/>
      <c r="D19" s="93"/>
      <c r="E19" s="93"/>
      <c r="F19" s="94"/>
    </row>
    <row r="20" spans="1:6" s="2" customFormat="1" ht="51" customHeight="1">
      <c r="A20" s="110" t="s">
        <v>59</v>
      </c>
      <c r="B20" s="8">
        <f t="shared" si="0"/>
        <v>927.423</v>
      </c>
      <c r="C20" s="20">
        <f>C21+C22</f>
        <v>6.146</v>
      </c>
      <c r="D20" s="20">
        <f>D21+D22</f>
        <v>847.651</v>
      </c>
      <c r="E20" s="20">
        <f>E21+E22</f>
        <v>0.128</v>
      </c>
      <c r="F20" s="21">
        <f>F21+F22</f>
        <v>73.49799999999999</v>
      </c>
    </row>
    <row r="21" spans="1:6" s="2" customFormat="1" ht="21.75" customHeight="1">
      <c r="A21" s="109" t="s">
        <v>13</v>
      </c>
      <c r="B21" s="8">
        <f t="shared" si="0"/>
        <v>908.103</v>
      </c>
      <c r="C21" s="8">
        <v>6.146</v>
      </c>
      <c r="D21" s="8">
        <v>847.651</v>
      </c>
      <c r="E21" s="8">
        <v>0.128</v>
      </c>
      <c r="F21" s="9">
        <v>54.178</v>
      </c>
    </row>
    <row r="22" spans="1:6" s="2" customFormat="1" ht="21" customHeight="1">
      <c r="A22" s="109" t="s">
        <v>10</v>
      </c>
      <c r="B22" s="8">
        <f t="shared" si="0"/>
        <v>19.32</v>
      </c>
      <c r="C22" s="8"/>
      <c r="D22" s="8"/>
      <c r="E22" s="20">
        <f>E23+E24</f>
        <v>0</v>
      </c>
      <c r="F22" s="21">
        <f>F23+F24</f>
        <v>19.32</v>
      </c>
    </row>
    <row r="23" spans="1:6" s="2" customFormat="1" ht="21.75" customHeight="1">
      <c r="A23" s="109" t="s">
        <v>11</v>
      </c>
      <c r="B23" s="8">
        <f t="shared" si="0"/>
        <v>19.32</v>
      </c>
      <c r="C23" s="93"/>
      <c r="D23" s="93"/>
      <c r="E23" s="93"/>
      <c r="F23" s="94">
        <v>19.32</v>
      </c>
    </row>
    <row r="24" spans="1:6" s="2" customFormat="1" ht="21" customHeight="1">
      <c r="A24" s="109" t="s">
        <v>12</v>
      </c>
      <c r="B24" s="8">
        <f t="shared" si="0"/>
        <v>0</v>
      </c>
      <c r="C24" s="93"/>
      <c r="D24" s="93"/>
      <c r="E24" s="93"/>
      <c r="F24" s="94"/>
    </row>
    <row r="25" spans="1:6" s="2" customFormat="1" ht="41.25" customHeight="1">
      <c r="A25" s="110" t="s">
        <v>7</v>
      </c>
      <c r="B25" s="8">
        <f t="shared" si="0"/>
        <v>12038.534</v>
      </c>
      <c r="C25" s="20">
        <f>C26+C27</f>
        <v>6405.99</v>
      </c>
      <c r="D25" s="20"/>
      <c r="E25" s="20">
        <f>E26+E27</f>
        <v>1884.005</v>
      </c>
      <c r="F25" s="21">
        <f>F26+F27</f>
        <v>3748.5389999999998</v>
      </c>
    </row>
    <row r="26" spans="1:6" s="2" customFormat="1" ht="19.5" customHeight="1">
      <c r="A26" s="109" t="s">
        <v>13</v>
      </c>
      <c r="B26" s="8">
        <f t="shared" si="0"/>
        <v>9534.412</v>
      </c>
      <c r="C26" s="8">
        <v>6405.99</v>
      </c>
      <c r="D26" s="8"/>
      <c r="E26" s="20">
        <v>1821.615</v>
      </c>
      <c r="F26" s="21">
        <v>1306.807</v>
      </c>
    </row>
    <row r="27" spans="1:6" s="2" customFormat="1" ht="24.75" customHeight="1">
      <c r="A27" s="109" t="s">
        <v>10</v>
      </c>
      <c r="B27" s="8">
        <f t="shared" si="0"/>
        <v>2504.122</v>
      </c>
      <c r="C27" s="8"/>
      <c r="D27" s="8"/>
      <c r="E27" s="20">
        <f>E28+E29</f>
        <v>62.39</v>
      </c>
      <c r="F27" s="21">
        <f>F28+F29</f>
        <v>2441.732</v>
      </c>
    </row>
    <row r="28" spans="1:6" s="2" customFormat="1" ht="25.5" customHeight="1">
      <c r="A28" s="109" t="s">
        <v>11</v>
      </c>
      <c r="B28" s="8">
        <f t="shared" si="0"/>
        <v>2474.776</v>
      </c>
      <c r="C28" s="93"/>
      <c r="D28" s="93"/>
      <c r="E28" s="93">
        <v>62.39</v>
      </c>
      <c r="F28" s="94">
        <f>2303.813+108.573</f>
        <v>2412.386</v>
      </c>
    </row>
    <row r="29" spans="1:6" s="2" customFormat="1" ht="20.25" customHeight="1">
      <c r="A29" s="109" t="s">
        <v>12</v>
      </c>
      <c r="B29" s="8">
        <f t="shared" si="0"/>
        <v>29.346</v>
      </c>
      <c r="C29" s="93"/>
      <c r="D29" s="93"/>
      <c r="E29" s="93"/>
      <c r="F29" s="94">
        <v>29.346</v>
      </c>
    </row>
    <row r="30" spans="1:6" s="2" customFormat="1" ht="50.25" customHeight="1">
      <c r="A30" s="110" t="s">
        <v>60</v>
      </c>
      <c r="B30" s="8">
        <f t="shared" si="0"/>
        <v>120.645</v>
      </c>
      <c r="C30" s="20"/>
      <c r="D30" s="20"/>
      <c r="E30" s="20">
        <f>E31+E32</f>
        <v>73.16</v>
      </c>
      <c r="F30" s="21">
        <f>F31+F32</f>
        <v>47.485</v>
      </c>
    </row>
    <row r="31" spans="1:6" s="2" customFormat="1" ht="22.5" customHeight="1">
      <c r="A31" s="109" t="s">
        <v>13</v>
      </c>
      <c r="B31" s="8">
        <f t="shared" si="0"/>
        <v>87.816</v>
      </c>
      <c r="C31" s="8"/>
      <c r="D31" s="8"/>
      <c r="E31" s="20">
        <v>73.16</v>
      </c>
      <c r="F31" s="21">
        <v>14.656</v>
      </c>
    </row>
    <row r="32" spans="1:6" s="2" customFormat="1" ht="24.75" customHeight="1">
      <c r="A32" s="109" t="s">
        <v>10</v>
      </c>
      <c r="B32" s="8">
        <f t="shared" si="0"/>
        <v>32.829</v>
      </c>
      <c r="C32" s="8"/>
      <c r="D32" s="8"/>
      <c r="E32" s="20">
        <f>E33+E34</f>
        <v>0</v>
      </c>
      <c r="F32" s="21">
        <f>F33+F34</f>
        <v>32.829</v>
      </c>
    </row>
    <row r="33" spans="1:6" s="2" customFormat="1" ht="18" customHeight="1">
      <c r="A33" s="109" t="s">
        <v>11</v>
      </c>
      <c r="B33" s="8">
        <f t="shared" si="0"/>
        <v>27.685</v>
      </c>
      <c r="C33" s="93"/>
      <c r="D33" s="93"/>
      <c r="E33" s="93"/>
      <c r="F33" s="94">
        <v>27.685</v>
      </c>
    </row>
    <row r="34" spans="1:6" s="2" customFormat="1" ht="18" customHeight="1">
      <c r="A34" s="109" t="s">
        <v>12</v>
      </c>
      <c r="B34" s="8">
        <f t="shared" si="0"/>
        <v>5.144</v>
      </c>
      <c r="C34" s="93"/>
      <c r="D34" s="93"/>
      <c r="E34" s="93"/>
      <c r="F34" s="94">
        <v>5.144</v>
      </c>
    </row>
    <row r="35" spans="1:6" s="2" customFormat="1" ht="25.5" customHeight="1">
      <c r="A35" s="49" t="s">
        <v>61</v>
      </c>
      <c r="B35" s="8">
        <f t="shared" si="0"/>
        <v>171.178</v>
      </c>
      <c r="C35" s="20">
        <f>C36+C37</f>
        <v>0</v>
      </c>
      <c r="D35" s="95"/>
      <c r="E35" s="20">
        <f>E36+E37</f>
        <v>0</v>
      </c>
      <c r="F35" s="21">
        <f>F36+F37</f>
        <v>171.178</v>
      </c>
    </row>
    <row r="36" spans="1:6" s="2" customFormat="1" ht="23.25" customHeight="1">
      <c r="A36" s="109" t="s">
        <v>13</v>
      </c>
      <c r="B36" s="8">
        <f t="shared" si="0"/>
        <v>158.953</v>
      </c>
      <c r="C36" s="8"/>
      <c r="D36" s="8"/>
      <c r="E36" s="8"/>
      <c r="F36" s="9">
        <v>158.953</v>
      </c>
    </row>
    <row r="37" spans="1:6" s="2" customFormat="1" ht="23.25" customHeight="1">
      <c r="A37" s="109" t="s">
        <v>10</v>
      </c>
      <c r="B37" s="8">
        <f t="shared" si="0"/>
        <v>12.225</v>
      </c>
      <c r="C37" s="20">
        <f>C38+C39</f>
        <v>0</v>
      </c>
      <c r="D37" s="8"/>
      <c r="E37" s="20">
        <f>E38+E39</f>
        <v>0</v>
      </c>
      <c r="F37" s="21">
        <f>F38+F39</f>
        <v>12.225</v>
      </c>
    </row>
    <row r="38" spans="1:6" s="2" customFormat="1" ht="23.25" customHeight="1">
      <c r="A38" s="109" t="s">
        <v>11</v>
      </c>
      <c r="B38" s="8">
        <f t="shared" si="0"/>
        <v>0</v>
      </c>
      <c r="C38" s="95"/>
      <c r="D38" s="95"/>
      <c r="E38" s="95"/>
      <c r="F38" s="12"/>
    </row>
    <row r="39" spans="1:6" s="2" customFormat="1" ht="23.25" customHeight="1">
      <c r="A39" s="109" t="s">
        <v>12</v>
      </c>
      <c r="B39" s="8">
        <f t="shared" si="0"/>
        <v>12.225</v>
      </c>
      <c r="C39" s="95"/>
      <c r="D39" s="95"/>
      <c r="E39" s="95"/>
      <c r="F39" s="12">
        <v>12.225</v>
      </c>
    </row>
    <row r="40" spans="1:6" s="2" customFormat="1" ht="42" customHeight="1">
      <c r="A40" s="110" t="s">
        <v>26</v>
      </c>
      <c r="B40" s="8">
        <f t="shared" si="0"/>
        <v>71.036</v>
      </c>
      <c r="C40" s="20">
        <f>C41+C42</f>
        <v>0.893</v>
      </c>
      <c r="D40" s="95"/>
      <c r="E40" s="20">
        <f>E41+E42</f>
        <v>70.143</v>
      </c>
      <c r="F40" s="21"/>
    </row>
    <row r="41" spans="1:6" s="2" customFormat="1" ht="19.5" customHeight="1">
      <c r="A41" s="109" t="s">
        <v>13</v>
      </c>
      <c r="B41" s="8">
        <f t="shared" si="0"/>
        <v>71.036</v>
      </c>
      <c r="C41" s="8">
        <v>0.893</v>
      </c>
      <c r="D41" s="8"/>
      <c r="E41" s="8">
        <v>70.143</v>
      </c>
      <c r="F41" s="9"/>
    </row>
    <row r="42" spans="1:6" s="2" customFormat="1" ht="19.5" customHeight="1">
      <c r="A42" s="109" t="s">
        <v>10</v>
      </c>
      <c r="B42" s="8">
        <f t="shared" si="0"/>
        <v>0</v>
      </c>
      <c r="C42" s="20">
        <f>C43+C44</f>
        <v>0</v>
      </c>
      <c r="D42" s="8"/>
      <c r="E42" s="20">
        <f>E43+E44</f>
        <v>0</v>
      </c>
      <c r="F42" s="21">
        <f>F43+F44</f>
        <v>0</v>
      </c>
    </row>
    <row r="43" spans="1:6" s="2" customFormat="1" ht="19.5" customHeight="1">
      <c r="A43" s="109" t="s">
        <v>11</v>
      </c>
      <c r="B43" s="8">
        <f t="shared" si="0"/>
        <v>0</v>
      </c>
      <c r="C43" s="95"/>
      <c r="D43" s="95"/>
      <c r="E43" s="95"/>
      <c r="F43" s="12"/>
    </row>
    <row r="44" spans="1:6" s="2" customFormat="1" ht="19.5" customHeight="1">
      <c r="A44" s="109" t="s">
        <v>12</v>
      </c>
      <c r="B44" s="8">
        <f t="shared" si="0"/>
        <v>0</v>
      </c>
      <c r="C44" s="95"/>
      <c r="D44" s="95"/>
      <c r="E44" s="95"/>
      <c r="F44" s="12"/>
    </row>
    <row r="45" spans="1:6" s="2" customFormat="1" ht="24.75" customHeight="1">
      <c r="A45" s="111" t="s">
        <v>29</v>
      </c>
      <c r="B45" s="8">
        <f t="shared" si="0"/>
        <v>155.85000000000002</v>
      </c>
      <c r="C45" s="10"/>
      <c r="D45" s="8"/>
      <c r="E45" s="8">
        <f>E46+E47</f>
        <v>71.748</v>
      </c>
      <c r="F45" s="9">
        <f>F46+F47</f>
        <v>84.102</v>
      </c>
    </row>
    <row r="46" spans="1:6" s="2" customFormat="1" ht="24.75" customHeight="1">
      <c r="A46" s="109" t="s">
        <v>13</v>
      </c>
      <c r="B46" s="8">
        <f t="shared" si="0"/>
        <v>155.85000000000002</v>
      </c>
      <c r="C46" s="8"/>
      <c r="D46" s="8"/>
      <c r="E46" s="20">
        <v>71.748</v>
      </c>
      <c r="F46" s="21">
        <v>84.102</v>
      </c>
    </row>
    <row r="47" spans="1:6" s="2" customFormat="1" ht="24.75" customHeight="1">
      <c r="A47" s="109" t="s">
        <v>10</v>
      </c>
      <c r="B47" s="8">
        <f t="shared" si="0"/>
        <v>0</v>
      </c>
      <c r="C47" s="8"/>
      <c r="D47" s="8"/>
      <c r="E47" s="20">
        <f>E48+E49</f>
        <v>0</v>
      </c>
      <c r="F47" s="21">
        <f>F48+F49</f>
        <v>0</v>
      </c>
    </row>
    <row r="48" spans="1:6" s="2" customFormat="1" ht="24.75" customHeight="1">
      <c r="A48" s="109" t="s">
        <v>11</v>
      </c>
      <c r="B48" s="8">
        <f t="shared" si="0"/>
        <v>0</v>
      </c>
      <c r="C48" s="10"/>
      <c r="D48" s="8"/>
      <c r="E48" s="10"/>
      <c r="F48" s="17"/>
    </row>
    <row r="49" spans="1:6" s="2" customFormat="1" ht="24.75" customHeight="1">
      <c r="A49" s="109" t="s">
        <v>12</v>
      </c>
      <c r="B49" s="8">
        <f t="shared" si="0"/>
        <v>0</v>
      </c>
      <c r="C49" s="10"/>
      <c r="D49" s="8"/>
      <c r="E49" s="10"/>
      <c r="F49" s="17"/>
    </row>
    <row r="50" spans="1:6" s="2" customFormat="1" ht="24.75" customHeight="1">
      <c r="A50" s="111" t="s">
        <v>4</v>
      </c>
      <c r="B50" s="8">
        <f t="shared" si="0"/>
        <v>833.169</v>
      </c>
      <c r="C50" s="20">
        <f>C51+C52</f>
        <v>833.169</v>
      </c>
      <c r="D50" s="8"/>
      <c r="E50" s="8"/>
      <c r="F50" s="9"/>
    </row>
    <row r="51" spans="1:6" s="2" customFormat="1" ht="24.75" customHeight="1">
      <c r="A51" s="109" t="s">
        <v>13</v>
      </c>
      <c r="B51" s="8">
        <f t="shared" si="0"/>
        <v>833.169</v>
      </c>
      <c r="C51" s="20">
        <v>833.169</v>
      </c>
      <c r="D51" s="8"/>
      <c r="E51" s="20"/>
      <c r="F51" s="21"/>
    </row>
    <row r="52" spans="1:6" s="2" customFormat="1" ht="24.75" customHeight="1">
      <c r="A52" s="109" t="s">
        <v>10</v>
      </c>
      <c r="B52" s="8">
        <f t="shared" si="0"/>
        <v>0</v>
      </c>
      <c r="C52" s="20">
        <f>C53+C54</f>
        <v>0</v>
      </c>
      <c r="D52" s="8"/>
      <c r="E52" s="20"/>
      <c r="F52" s="21"/>
    </row>
    <row r="53" spans="1:6" s="2" customFormat="1" ht="24.75" customHeight="1">
      <c r="A53" s="109" t="s">
        <v>11</v>
      </c>
      <c r="B53" s="8">
        <f t="shared" si="0"/>
        <v>0</v>
      </c>
      <c r="C53" s="93"/>
      <c r="D53" s="8"/>
      <c r="E53" s="8"/>
      <c r="F53" s="9"/>
    </row>
    <row r="54" spans="1:9" s="2" customFormat="1" ht="24.75" customHeight="1">
      <c r="A54" s="109" t="s">
        <v>12</v>
      </c>
      <c r="B54" s="8">
        <f t="shared" si="0"/>
        <v>0</v>
      </c>
      <c r="C54" s="93"/>
      <c r="D54" s="8"/>
      <c r="E54" s="8"/>
      <c r="F54" s="9"/>
      <c r="G54" s="70"/>
      <c r="H54" s="68"/>
      <c r="I54" s="68"/>
    </row>
    <row r="55" spans="1:6" s="2" customFormat="1" ht="50.25" customHeight="1">
      <c r="A55" s="110" t="s">
        <v>62</v>
      </c>
      <c r="B55" s="8">
        <f t="shared" si="0"/>
        <v>860.142</v>
      </c>
      <c r="C55" s="20">
        <f>C56+C57</f>
        <v>0</v>
      </c>
      <c r="D55" s="20">
        <f>D56+D57</f>
        <v>0</v>
      </c>
      <c r="E55" s="20">
        <f>E56+E57</f>
        <v>413.599</v>
      </c>
      <c r="F55" s="21">
        <f>F56+F57</f>
        <v>446.543</v>
      </c>
    </row>
    <row r="56" spans="1:6" s="2" customFormat="1" ht="26.25" customHeight="1">
      <c r="A56" s="109" t="s">
        <v>13</v>
      </c>
      <c r="B56" s="8">
        <f>F56+E56+D56+C56</f>
        <v>537.825</v>
      </c>
      <c r="C56" s="20"/>
      <c r="D56" s="20"/>
      <c r="E56" s="20">
        <v>413.599</v>
      </c>
      <c r="F56" s="21">
        <v>124.226</v>
      </c>
    </row>
    <row r="57" spans="1:6" s="2" customFormat="1" ht="26.25" customHeight="1">
      <c r="A57" s="109" t="s">
        <v>10</v>
      </c>
      <c r="B57" s="8">
        <f aca="true" t="shared" si="1" ref="B57:B100">C57+D57+E57+F57</f>
        <v>322.317</v>
      </c>
      <c r="C57" s="20">
        <f>C58+C59</f>
        <v>0</v>
      </c>
      <c r="D57" s="20">
        <f>D58+D59</f>
        <v>0</v>
      </c>
      <c r="E57" s="20">
        <f>E58+E59</f>
        <v>0</v>
      </c>
      <c r="F57" s="21">
        <f>F58+F59</f>
        <v>322.317</v>
      </c>
    </row>
    <row r="58" spans="1:6" s="2" customFormat="1" ht="26.25" customHeight="1">
      <c r="A58" s="109" t="s">
        <v>11</v>
      </c>
      <c r="B58" s="8">
        <f t="shared" si="1"/>
        <v>282.657</v>
      </c>
      <c r="C58" s="93"/>
      <c r="D58" s="8"/>
      <c r="E58" s="8"/>
      <c r="F58" s="9">
        <v>282.657</v>
      </c>
    </row>
    <row r="59" spans="1:6" s="2" customFormat="1" ht="26.25" customHeight="1">
      <c r="A59" s="109" t="s">
        <v>12</v>
      </c>
      <c r="B59" s="8">
        <f t="shared" si="1"/>
        <v>39.66</v>
      </c>
      <c r="C59" s="93"/>
      <c r="D59" s="8"/>
      <c r="E59" s="8"/>
      <c r="F59" s="9">
        <v>39.66</v>
      </c>
    </row>
    <row r="60" spans="1:6" s="2" customFormat="1" ht="24.75" customHeight="1">
      <c r="A60" s="110" t="s">
        <v>28</v>
      </c>
      <c r="B60" s="8">
        <f t="shared" si="1"/>
        <v>2061.9300000000003</v>
      </c>
      <c r="C60" s="8">
        <f>C61+C62</f>
        <v>2045.93</v>
      </c>
      <c r="D60" s="8"/>
      <c r="E60" s="8">
        <f>E61+E62</f>
        <v>0</v>
      </c>
      <c r="F60" s="9">
        <f>F61+F62</f>
        <v>16</v>
      </c>
    </row>
    <row r="61" spans="1:6" s="2" customFormat="1" ht="21.75" customHeight="1">
      <c r="A61" s="109" t="s">
        <v>13</v>
      </c>
      <c r="B61" s="8">
        <f t="shared" si="1"/>
        <v>2061.9300000000003</v>
      </c>
      <c r="C61" s="113">
        <v>2045.93</v>
      </c>
      <c r="D61" s="20"/>
      <c r="E61" s="113"/>
      <c r="F61" s="114">
        <v>16</v>
      </c>
    </row>
    <row r="62" spans="1:6" s="2" customFormat="1" ht="16.5" customHeight="1">
      <c r="A62" s="109" t="s">
        <v>10</v>
      </c>
      <c r="B62" s="8">
        <f t="shared" si="1"/>
        <v>0</v>
      </c>
      <c r="C62" s="93"/>
      <c r="D62" s="8"/>
      <c r="E62" s="8">
        <f>E64+E63</f>
        <v>0</v>
      </c>
      <c r="F62" s="9">
        <f>F64+F63</f>
        <v>0</v>
      </c>
    </row>
    <row r="63" spans="1:6" s="2" customFormat="1" ht="18" customHeight="1">
      <c r="A63" s="109" t="s">
        <v>11</v>
      </c>
      <c r="B63" s="8">
        <f t="shared" si="1"/>
        <v>0</v>
      </c>
      <c r="C63" s="93"/>
      <c r="D63" s="8"/>
      <c r="E63" s="10"/>
      <c r="F63" s="17"/>
    </row>
    <row r="64" spans="1:6" s="2" customFormat="1" ht="18" customHeight="1">
      <c r="A64" s="109" t="s">
        <v>12</v>
      </c>
      <c r="B64" s="8">
        <f t="shared" si="1"/>
        <v>0</v>
      </c>
      <c r="C64" s="93"/>
      <c r="D64" s="8"/>
      <c r="E64" s="10"/>
      <c r="F64" s="17"/>
    </row>
    <row r="65" spans="1:6" s="2" customFormat="1" ht="24.75" customHeight="1">
      <c r="A65" s="110" t="s">
        <v>63</v>
      </c>
      <c r="B65" s="8">
        <f t="shared" si="1"/>
        <v>0</v>
      </c>
      <c r="C65" s="8">
        <f>C66+C67</f>
        <v>0</v>
      </c>
      <c r="D65" s="8"/>
      <c r="E65" s="8">
        <f>E66+E67</f>
        <v>0</v>
      </c>
      <c r="F65" s="9">
        <f>F66+F67</f>
        <v>0</v>
      </c>
    </row>
    <row r="66" spans="1:6" s="2" customFormat="1" ht="21.75" customHeight="1">
      <c r="A66" s="109" t="s">
        <v>13</v>
      </c>
      <c r="B66" s="8">
        <f t="shared" si="1"/>
        <v>0</v>
      </c>
      <c r="C66" s="113"/>
      <c r="D66" s="113"/>
      <c r="E66" s="113"/>
      <c r="F66" s="114"/>
    </row>
    <row r="67" spans="1:6" s="2" customFormat="1" ht="18" customHeight="1">
      <c r="A67" s="109" t="s">
        <v>10</v>
      </c>
      <c r="B67" s="8">
        <f t="shared" si="1"/>
        <v>0</v>
      </c>
      <c r="C67" s="93"/>
      <c r="D67" s="8"/>
      <c r="E67" s="8">
        <f>E69+E68</f>
        <v>0</v>
      </c>
      <c r="F67" s="9">
        <f>F69+F68</f>
        <v>0</v>
      </c>
    </row>
    <row r="68" spans="1:6" s="2" customFormat="1" ht="19.5" customHeight="1">
      <c r="A68" s="109" t="s">
        <v>11</v>
      </c>
      <c r="B68" s="8">
        <f t="shared" si="1"/>
        <v>0</v>
      </c>
      <c r="C68" s="93"/>
      <c r="D68" s="8"/>
      <c r="E68" s="10"/>
      <c r="F68" s="17"/>
    </row>
    <row r="69" spans="1:6" s="2" customFormat="1" ht="19.5" customHeight="1">
      <c r="A69" s="109" t="s">
        <v>12</v>
      </c>
      <c r="B69" s="8">
        <f t="shared" si="1"/>
        <v>0</v>
      </c>
      <c r="C69" s="93"/>
      <c r="D69" s="8"/>
      <c r="E69" s="10"/>
      <c r="F69" s="17"/>
    </row>
    <row r="70" spans="1:6" ht="27.75" customHeight="1">
      <c r="A70" s="110" t="s">
        <v>25</v>
      </c>
      <c r="B70" s="8">
        <f t="shared" si="1"/>
        <v>77.588</v>
      </c>
      <c r="C70" s="93"/>
      <c r="D70" s="8"/>
      <c r="E70" s="8">
        <f>E71+E72</f>
        <v>0</v>
      </c>
      <c r="F70" s="9">
        <f>F71+F72</f>
        <v>77.588</v>
      </c>
    </row>
    <row r="71" spans="1:6" ht="27.75" customHeight="1">
      <c r="A71" s="109" t="s">
        <v>13</v>
      </c>
      <c r="B71" s="8">
        <f t="shared" si="1"/>
        <v>20.582</v>
      </c>
      <c r="C71" s="93"/>
      <c r="D71" s="8"/>
      <c r="E71" s="8"/>
      <c r="F71" s="115">
        <v>20.582</v>
      </c>
    </row>
    <row r="72" spans="1:6" ht="27.75" customHeight="1">
      <c r="A72" s="109" t="s">
        <v>10</v>
      </c>
      <c r="B72" s="8">
        <f t="shared" si="1"/>
        <v>57.006</v>
      </c>
      <c r="C72" s="93"/>
      <c r="D72" s="8"/>
      <c r="E72" s="8">
        <f>E74+E73</f>
        <v>0</v>
      </c>
      <c r="F72" s="9">
        <f>F74+F73</f>
        <v>57.006</v>
      </c>
    </row>
    <row r="73" spans="1:6" ht="27.75" customHeight="1">
      <c r="A73" s="109" t="s">
        <v>11</v>
      </c>
      <c r="B73" s="8">
        <f t="shared" si="1"/>
        <v>57.006</v>
      </c>
      <c r="C73" s="93"/>
      <c r="D73" s="8"/>
      <c r="E73" s="10"/>
      <c r="F73" s="17">
        <v>57.006</v>
      </c>
    </row>
    <row r="74" spans="1:6" ht="27.75" customHeight="1">
      <c r="A74" s="109" t="s">
        <v>12</v>
      </c>
      <c r="B74" s="8">
        <f t="shared" si="1"/>
        <v>0</v>
      </c>
      <c r="C74" s="93"/>
      <c r="D74" s="8"/>
      <c r="E74" s="10"/>
      <c r="F74" s="17"/>
    </row>
    <row r="75" spans="1:6" ht="27.75" customHeight="1">
      <c r="A75" s="110" t="s">
        <v>64</v>
      </c>
      <c r="B75" s="8">
        <f t="shared" si="1"/>
        <v>242.07299999999998</v>
      </c>
      <c r="C75" s="93"/>
      <c r="D75" s="8"/>
      <c r="E75" s="8">
        <f>E76+E77</f>
        <v>19.38</v>
      </c>
      <c r="F75" s="9">
        <f>F76+F77</f>
        <v>222.69299999999998</v>
      </c>
    </row>
    <row r="76" spans="1:6" ht="37.5" customHeight="1">
      <c r="A76" s="109" t="s">
        <v>13</v>
      </c>
      <c r="B76" s="8">
        <f t="shared" si="1"/>
        <v>67.291</v>
      </c>
      <c r="C76" s="93"/>
      <c r="D76" s="8"/>
      <c r="E76" s="20">
        <v>17.858</v>
      </c>
      <c r="F76" s="21">
        <v>49.433</v>
      </c>
    </row>
    <row r="77" spans="1:6" ht="18.75">
      <c r="A77" s="109" t="s">
        <v>10</v>
      </c>
      <c r="B77" s="8">
        <f t="shared" si="1"/>
        <v>174.78199999999998</v>
      </c>
      <c r="C77" s="93"/>
      <c r="D77" s="8"/>
      <c r="E77" s="8">
        <f>E79+E78</f>
        <v>1.522</v>
      </c>
      <c r="F77" s="9">
        <f>F79+F78</f>
        <v>173.26</v>
      </c>
    </row>
    <row r="78" spans="1:6" s="6" customFormat="1" ht="25.5" customHeight="1">
      <c r="A78" s="109" t="s">
        <v>11</v>
      </c>
      <c r="B78" s="8">
        <f t="shared" si="1"/>
        <v>0</v>
      </c>
      <c r="C78" s="93"/>
      <c r="D78" s="8"/>
      <c r="E78" s="8"/>
      <c r="F78" s="9"/>
    </row>
    <row r="79" spans="1:6" ht="18.75">
      <c r="A79" s="109" t="s">
        <v>12</v>
      </c>
      <c r="B79" s="8">
        <f t="shared" si="1"/>
        <v>174.78199999999998</v>
      </c>
      <c r="C79" s="93"/>
      <c r="D79" s="8"/>
      <c r="E79" s="8">
        <v>1.522</v>
      </c>
      <c r="F79" s="9">
        <v>173.26</v>
      </c>
    </row>
    <row r="80" spans="1:7" ht="18">
      <c r="A80" s="110" t="s">
        <v>8</v>
      </c>
      <c r="B80" s="8">
        <f t="shared" si="1"/>
        <v>1172.61</v>
      </c>
      <c r="C80" s="20"/>
      <c r="D80" s="8"/>
      <c r="E80" s="20">
        <f>E81+E82</f>
        <v>562.8399999999999</v>
      </c>
      <c r="F80" s="21">
        <f>F81+F82</f>
        <v>609.77</v>
      </c>
      <c r="G80" s="77"/>
    </row>
    <row r="81" spans="1:6" ht="18.75">
      <c r="A81" s="109" t="s">
        <v>13</v>
      </c>
      <c r="B81" s="8">
        <f t="shared" si="1"/>
        <v>633.175</v>
      </c>
      <c r="C81" s="8"/>
      <c r="D81" s="8"/>
      <c r="E81" s="20">
        <v>461.835</v>
      </c>
      <c r="F81" s="21">
        <v>171.34</v>
      </c>
    </row>
    <row r="82" spans="1:6" ht="18.75">
      <c r="A82" s="109" t="s">
        <v>10</v>
      </c>
      <c r="B82" s="8">
        <f t="shared" si="1"/>
        <v>539.435</v>
      </c>
      <c r="C82" s="8"/>
      <c r="D82" s="8"/>
      <c r="E82" s="20">
        <f>E83+E84</f>
        <v>101.005</v>
      </c>
      <c r="F82" s="21">
        <f>F83+F84</f>
        <v>438.43</v>
      </c>
    </row>
    <row r="83" spans="1:6" ht="18.75">
      <c r="A83" s="109" t="s">
        <v>11</v>
      </c>
      <c r="B83" s="8">
        <f t="shared" si="1"/>
        <v>422.364</v>
      </c>
      <c r="C83" s="8"/>
      <c r="D83" s="8"/>
      <c r="E83" s="93">
        <v>99.241</v>
      </c>
      <c r="F83" s="94">
        <f>299.743+23.38</f>
        <v>323.123</v>
      </c>
    </row>
    <row r="84" spans="1:6" ht="18.75">
      <c r="A84" s="109" t="s">
        <v>12</v>
      </c>
      <c r="B84" s="8">
        <f t="shared" si="1"/>
        <v>117.071</v>
      </c>
      <c r="C84" s="8"/>
      <c r="D84" s="8"/>
      <c r="E84" s="93">
        <v>1.764</v>
      </c>
      <c r="F84" s="94">
        <v>115.307</v>
      </c>
    </row>
    <row r="85" spans="1:6" ht="18">
      <c r="A85" s="110" t="s">
        <v>5</v>
      </c>
      <c r="B85" s="8">
        <f t="shared" si="1"/>
        <v>3135.166</v>
      </c>
      <c r="C85" s="20">
        <f>C86+C87</f>
        <v>447.667</v>
      </c>
      <c r="D85" s="8"/>
      <c r="E85" s="20">
        <f>E86+E87</f>
        <v>1665.185</v>
      </c>
      <c r="F85" s="21">
        <f>F86+F87</f>
        <v>1022.3140000000001</v>
      </c>
    </row>
    <row r="86" spans="1:6" ht="18.75">
      <c r="A86" s="109" t="s">
        <v>13</v>
      </c>
      <c r="B86" s="8">
        <f t="shared" si="1"/>
        <v>2072.1059999999998</v>
      </c>
      <c r="C86" s="20">
        <v>447.667</v>
      </c>
      <c r="D86" s="8"/>
      <c r="E86" s="20">
        <v>1144.479</v>
      </c>
      <c r="F86" s="21">
        <v>479.96</v>
      </c>
    </row>
    <row r="87" spans="1:6" ht="18.75">
      <c r="A87" s="109" t="s">
        <v>10</v>
      </c>
      <c r="B87" s="8">
        <f t="shared" si="1"/>
        <v>1063.06</v>
      </c>
      <c r="C87" s="8"/>
      <c r="D87" s="8"/>
      <c r="E87" s="20">
        <f>E88+E89</f>
        <v>520.706</v>
      </c>
      <c r="F87" s="21">
        <f>F88+F89</f>
        <v>542.354</v>
      </c>
    </row>
    <row r="88" spans="1:6" ht="18.75">
      <c r="A88" s="109" t="s">
        <v>11</v>
      </c>
      <c r="B88" s="8">
        <f t="shared" si="1"/>
        <v>1054.3000000000002</v>
      </c>
      <c r="C88" s="93"/>
      <c r="D88" s="93"/>
      <c r="E88" s="93">
        <f>490.214+21.732</f>
        <v>511.946</v>
      </c>
      <c r="F88" s="94">
        <f>473.779+68.575</f>
        <v>542.354</v>
      </c>
    </row>
    <row r="89" spans="1:6" ht="18.75">
      <c r="A89" s="109" t="s">
        <v>12</v>
      </c>
      <c r="B89" s="8">
        <f t="shared" si="1"/>
        <v>8.76</v>
      </c>
      <c r="C89" s="93"/>
      <c r="D89" s="93"/>
      <c r="E89" s="93">
        <v>8.76</v>
      </c>
      <c r="F89" s="94"/>
    </row>
    <row r="90" spans="1:6" ht="36">
      <c r="A90" s="110" t="s">
        <v>65</v>
      </c>
      <c r="B90" s="8">
        <f t="shared" si="1"/>
        <v>6608.372</v>
      </c>
      <c r="C90" s="20"/>
      <c r="D90" s="8"/>
      <c r="E90" s="20">
        <f>E91+E92</f>
        <v>1594.036</v>
      </c>
      <c r="F90" s="21">
        <f>F91+F92</f>
        <v>5014.336</v>
      </c>
    </row>
    <row r="91" spans="1:6" ht="18.75">
      <c r="A91" s="109" t="s">
        <v>13</v>
      </c>
      <c r="B91" s="8">
        <f t="shared" si="1"/>
        <v>3338.6220000000003</v>
      </c>
      <c r="C91" s="8"/>
      <c r="D91" s="8"/>
      <c r="E91" s="20">
        <v>1567.824</v>
      </c>
      <c r="F91" s="21">
        <v>1770.798</v>
      </c>
    </row>
    <row r="92" spans="1:6" ht="18.75">
      <c r="A92" s="109" t="s">
        <v>10</v>
      </c>
      <c r="B92" s="8">
        <f t="shared" si="1"/>
        <v>3269.7500000000005</v>
      </c>
      <c r="C92" s="8"/>
      <c r="D92" s="8"/>
      <c r="E92" s="20">
        <f>E93+E94</f>
        <v>26.212</v>
      </c>
      <c r="F92" s="21">
        <f>F93+F94</f>
        <v>3243.5380000000005</v>
      </c>
    </row>
    <row r="93" spans="1:6" ht="18.75">
      <c r="A93" s="109" t="s">
        <v>11</v>
      </c>
      <c r="B93" s="8">
        <f t="shared" si="1"/>
        <v>823.087</v>
      </c>
      <c r="C93" s="10"/>
      <c r="D93" s="8"/>
      <c r="E93" s="93">
        <v>18.762</v>
      </c>
      <c r="F93" s="94">
        <v>804.325</v>
      </c>
    </row>
    <row r="94" spans="1:6" ht="19.5" thickBot="1">
      <c r="A94" s="116" t="s">
        <v>12</v>
      </c>
      <c r="B94" s="22">
        <f t="shared" si="1"/>
        <v>2446.663</v>
      </c>
      <c r="C94" s="24"/>
      <c r="D94" s="22"/>
      <c r="E94" s="126">
        <v>7.45</v>
      </c>
      <c r="F94" s="127">
        <v>2439.213</v>
      </c>
    </row>
    <row r="95" spans="1:6" ht="18">
      <c r="A95" s="54" t="s">
        <v>21</v>
      </c>
      <c r="B95" s="55">
        <f t="shared" si="1"/>
        <v>273.759</v>
      </c>
      <c r="C95" s="160"/>
      <c r="D95" s="160"/>
      <c r="E95" s="119">
        <v>273.759</v>
      </c>
      <c r="F95" s="161"/>
    </row>
    <row r="96" spans="1:6" ht="18">
      <c r="A96" s="31" t="s">
        <v>22</v>
      </c>
      <c r="B96" s="5">
        <f t="shared" si="1"/>
        <v>60.931</v>
      </c>
      <c r="C96" s="10"/>
      <c r="D96" s="10"/>
      <c r="E96" s="93">
        <v>60.931</v>
      </c>
      <c r="F96" s="17"/>
    </row>
    <row r="97" spans="1:6" ht="18">
      <c r="A97" s="31" t="s">
        <v>27</v>
      </c>
      <c r="B97" s="5">
        <f t="shared" si="1"/>
        <v>678.319</v>
      </c>
      <c r="C97" s="10"/>
      <c r="D97" s="10"/>
      <c r="E97" s="11">
        <v>602.279</v>
      </c>
      <c r="F97" s="12">
        <v>76.04</v>
      </c>
    </row>
    <row r="98" spans="1:6" ht="18">
      <c r="A98" s="31" t="s">
        <v>23</v>
      </c>
      <c r="B98" s="5">
        <f t="shared" si="1"/>
        <v>786.0239999999999</v>
      </c>
      <c r="C98" s="10">
        <v>528.318</v>
      </c>
      <c r="D98" s="10"/>
      <c r="E98" s="10">
        <v>130.502</v>
      </c>
      <c r="F98" s="17">
        <v>127.204</v>
      </c>
    </row>
    <row r="99" spans="1:6" ht="36.75" thickBot="1">
      <c r="A99" s="120" t="s">
        <v>24</v>
      </c>
      <c r="B99" s="121">
        <f t="shared" si="1"/>
        <v>640.743</v>
      </c>
      <c r="C99" s="122"/>
      <c r="D99" s="122"/>
      <c r="E99" s="122">
        <v>640.743</v>
      </c>
      <c r="F99" s="123"/>
    </row>
    <row r="100" spans="1:6" ht="18.75" thickBot="1">
      <c r="A100" s="30" t="s">
        <v>66</v>
      </c>
      <c r="B100" s="50">
        <f t="shared" si="1"/>
        <v>136303.16999999998</v>
      </c>
      <c r="C100" s="124">
        <f>C5+C10+C15+C20+C25+C30+C35+C40+C45+C50+C55+C60+C65+C70+C75+C80+C85+C90+C95+C96+C97+C98+C99</f>
        <v>58453.079999999994</v>
      </c>
      <c r="D100" s="124">
        <f>D5+D10+D15+D20+D25+D30+D35+D40+D45+D50+D55+D60+D65+D70+D75+D80+D85+D90+D95+D96+D97+D98+D99</f>
        <v>2406.497</v>
      </c>
      <c r="E100" s="124">
        <f>E5+E10+E15+E20+E25+E30+E35+E40+E45+E50+E55+E60+E65+E70+E75+E80+E85+E90+E95+E96+E97+E98+E99</f>
        <v>33128.954000000005</v>
      </c>
      <c r="F100" s="51">
        <f>F5+F10+F15+F20+F25+F30+F35+F40+F45+F50+F55+F60+F65+F70+F75+F80+F85+F90+F95+F96+F97+F98+F99</f>
        <v>42314.638999999996</v>
      </c>
    </row>
  </sheetData>
  <sheetProtection/>
  <mergeCells count="2">
    <mergeCell ref="A1:F1"/>
    <mergeCell ref="A2:F2"/>
  </mergeCells>
  <printOptions horizontalCentered="1"/>
  <pageMargins left="0.03937007874015748" right="0.03937007874015748" top="0.3937007874015748" bottom="0.03937007874015748" header="0.5118110236220472" footer="0.5118110236220472"/>
  <pageSetup fitToHeight="1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60" zoomScaleNormal="60" zoomScalePageLayoutView="0" workbookViewId="0" topLeftCell="A1">
      <pane xSplit="1" ySplit="4" topLeftCell="B59" activePane="bottomRight" state="frozen"/>
      <selection pane="topLeft" activeCell="I49" sqref="I49"/>
      <selection pane="topRight" activeCell="I49" sqref="I49"/>
      <selection pane="bottomLeft" activeCell="I49" sqref="I49"/>
      <selection pane="bottomRight" activeCell="A74" sqref="A74"/>
    </sheetView>
  </sheetViews>
  <sheetFormatPr defaultColWidth="9.00390625" defaultRowHeight="12.75"/>
  <cols>
    <col min="1" max="1" width="56.00390625" style="0" customWidth="1"/>
    <col min="2" max="6" width="25.25390625" style="0" customWidth="1"/>
    <col min="7" max="7" width="22.75390625" style="0" customWidth="1"/>
  </cols>
  <sheetData>
    <row r="1" spans="1:6" s="41" customFormat="1" ht="47.25" customHeight="1">
      <c r="A1" s="162" t="s">
        <v>32</v>
      </c>
      <c r="B1" s="162"/>
      <c r="C1" s="162"/>
      <c r="D1" s="162"/>
      <c r="E1" s="162"/>
      <c r="F1" s="162"/>
    </row>
    <row r="2" spans="1:6" s="42" customFormat="1" ht="23.25">
      <c r="A2" s="163" t="s">
        <v>42</v>
      </c>
      <c r="B2" s="163"/>
      <c r="C2" s="163"/>
      <c r="D2" s="164"/>
      <c r="E2" s="164"/>
      <c r="F2" s="164"/>
    </row>
    <row r="3" s="3" customFormat="1" ht="18.75" thickBot="1">
      <c r="F3" s="73" t="s">
        <v>31</v>
      </c>
    </row>
    <row r="4" spans="1:6" s="1" customFormat="1" ht="29.25" customHeight="1" thickBot="1">
      <c r="A4" s="71" t="s">
        <v>30</v>
      </c>
      <c r="B4" s="69"/>
      <c r="C4" s="52" t="s">
        <v>0</v>
      </c>
      <c r="D4" s="52" t="s">
        <v>1</v>
      </c>
      <c r="E4" s="52" t="s">
        <v>2</v>
      </c>
      <c r="F4" s="53" t="s">
        <v>3</v>
      </c>
    </row>
    <row r="5" spans="1:6" s="2" customFormat="1" ht="57" customHeight="1">
      <c r="A5" s="74" t="s">
        <v>57</v>
      </c>
      <c r="B5" s="55">
        <f>C5+D5+E5+F5</f>
        <v>292894.13</v>
      </c>
      <c r="C5" s="63">
        <f>C6+C7</f>
        <v>132701.014</v>
      </c>
      <c r="D5" s="63">
        <f>D6+D7</f>
        <v>4220.272</v>
      </c>
      <c r="E5" s="63">
        <f>E6+E7</f>
        <v>70390.796</v>
      </c>
      <c r="F5" s="64">
        <f>F6+F7</f>
        <v>85582.048</v>
      </c>
    </row>
    <row r="6" spans="1:7" s="2" customFormat="1" ht="27" customHeight="1">
      <c r="A6" s="18" t="s">
        <v>13</v>
      </c>
      <c r="B6" s="5">
        <f aca="true" t="shared" si="0" ref="B6:B39">C6+D6+E6+F6</f>
        <v>243469.01400000002</v>
      </c>
      <c r="C6" s="8">
        <f>'январь факт'!C6+'февраль факт'!C6+'март фaкт'!C6</f>
        <v>132595.084</v>
      </c>
      <c r="D6" s="8">
        <f>'январь факт'!D6+'февраль факт'!D6+'март фaкт'!D6</f>
        <v>4216.342</v>
      </c>
      <c r="E6" s="8">
        <f>'январь факт'!E6+'февраль факт'!E6+'март фaкт'!E6</f>
        <v>67851.16500000001</v>
      </c>
      <c r="F6" s="9">
        <f>'январь факт'!F6+'февраль факт'!F6+'март фaкт'!F6</f>
        <v>38806.422999999995</v>
      </c>
      <c r="G6" s="26"/>
    </row>
    <row r="7" spans="1:6" s="2" customFormat="1" ht="20.25" customHeight="1">
      <c r="A7" s="18" t="s">
        <v>10</v>
      </c>
      <c r="B7" s="5">
        <f t="shared" si="0"/>
        <v>49425.116</v>
      </c>
      <c r="C7" s="8">
        <f>C8+C9</f>
        <v>105.93</v>
      </c>
      <c r="D7" s="15">
        <f>D8+D9</f>
        <v>3.9300000000000006</v>
      </c>
      <c r="E7" s="15">
        <f>E8+E9</f>
        <v>2539.631</v>
      </c>
      <c r="F7" s="16">
        <f>F8+F9</f>
        <v>46775.625</v>
      </c>
    </row>
    <row r="8" spans="1:6" s="2" customFormat="1" ht="21.75" customHeight="1">
      <c r="A8" s="18" t="s">
        <v>11</v>
      </c>
      <c r="B8" s="5">
        <f t="shared" si="0"/>
        <v>14277.087</v>
      </c>
      <c r="C8" s="10">
        <f>'январь факт'!C8+'февраль факт'!C8+'март фaкт'!C8</f>
        <v>45.675000000000004</v>
      </c>
      <c r="D8" s="10">
        <f>'январь факт'!D8+'февраль факт'!D8+'март фaкт'!D8</f>
        <v>0</v>
      </c>
      <c r="E8" s="10">
        <f>'январь факт'!E8+'февраль факт'!E8+'март фaкт'!E8</f>
        <v>481.657</v>
      </c>
      <c r="F8" s="17">
        <f>'январь факт'!F8+'февраль факт'!F8+'март фaкт'!F8</f>
        <v>13749.755</v>
      </c>
    </row>
    <row r="9" spans="1:6" s="2" customFormat="1" ht="24.75" customHeight="1">
      <c r="A9" s="18" t="s">
        <v>12</v>
      </c>
      <c r="B9" s="5">
        <f t="shared" si="0"/>
        <v>35148.029</v>
      </c>
      <c r="C9" s="10">
        <f>'январь факт'!C9+'февраль факт'!C9+'март фaкт'!C9</f>
        <v>60.255</v>
      </c>
      <c r="D9" s="10">
        <f>'январь факт'!D9+'февраль факт'!D9+'март фaкт'!D9</f>
        <v>3.9300000000000006</v>
      </c>
      <c r="E9" s="10">
        <f>'январь факт'!E9+'февраль факт'!E9+'март фaкт'!E9</f>
        <v>2057.9739999999997</v>
      </c>
      <c r="F9" s="17">
        <f>'январь факт'!F9+'февраль факт'!F9+'март фaкт'!F9</f>
        <v>33025.87</v>
      </c>
    </row>
    <row r="10" spans="1:6" s="2" customFormat="1" ht="47.25" customHeight="1">
      <c r="A10" s="75" t="s">
        <v>58</v>
      </c>
      <c r="B10" s="5">
        <f t="shared" si="0"/>
        <v>20885.854</v>
      </c>
      <c r="C10" s="15">
        <f>C11+C12</f>
        <v>3365.86</v>
      </c>
      <c r="D10" s="15">
        <f>D11+D12</f>
        <v>0</v>
      </c>
      <c r="E10" s="15">
        <f>E11+E12</f>
        <v>7618.108</v>
      </c>
      <c r="F10" s="16">
        <f>F11+F12</f>
        <v>9901.885999999999</v>
      </c>
    </row>
    <row r="11" spans="1:6" s="2" customFormat="1" ht="21.75" customHeight="1">
      <c r="A11" s="18" t="s">
        <v>13</v>
      </c>
      <c r="B11" s="5">
        <f t="shared" si="0"/>
        <v>13532.207</v>
      </c>
      <c r="C11" s="8">
        <f>'январь факт'!C11+'февраль факт'!C11+'март фaкт'!C11</f>
        <v>3076.514</v>
      </c>
      <c r="D11" s="8">
        <f>'январь факт'!D11+'февраль факт'!D11+'март фaкт'!D11</f>
        <v>0</v>
      </c>
      <c r="E11" s="8">
        <f>'январь факт'!E11+'февраль факт'!E11+'март фaкт'!E11</f>
        <v>6329.652</v>
      </c>
      <c r="F11" s="9">
        <f>'январь факт'!F11+'февраль факт'!F11+'март фaкт'!F11</f>
        <v>4126.040999999999</v>
      </c>
    </row>
    <row r="12" spans="1:6" s="2" customFormat="1" ht="19.5" customHeight="1">
      <c r="A12" s="18" t="s">
        <v>10</v>
      </c>
      <c r="B12" s="5">
        <f t="shared" si="0"/>
        <v>7353.646999999999</v>
      </c>
      <c r="C12" s="8">
        <f>C13+C14</f>
        <v>289.346</v>
      </c>
      <c r="D12" s="15">
        <f>D13+D14</f>
        <v>0</v>
      </c>
      <c r="E12" s="15">
        <f>E13+E14</f>
        <v>1288.4560000000001</v>
      </c>
      <c r="F12" s="16">
        <f>F13+F14</f>
        <v>5775.844999999999</v>
      </c>
    </row>
    <row r="13" spans="1:6" s="2" customFormat="1" ht="17.25" customHeight="1">
      <c r="A13" s="18" t="s">
        <v>11</v>
      </c>
      <c r="B13" s="5">
        <f t="shared" si="0"/>
        <v>4042.358</v>
      </c>
      <c r="C13" s="10">
        <f>'январь факт'!C13+'февраль факт'!C13+'март фaкт'!C13</f>
        <v>0</v>
      </c>
      <c r="D13" s="10">
        <f>'январь факт'!D13+'февраль факт'!D13+'март фaкт'!D13</f>
        <v>0</v>
      </c>
      <c r="E13" s="10">
        <f>'январь факт'!E13+'февраль факт'!E13+'март фaкт'!E13</f>
        <v>204.95800000000003</v>
      </c>
      <c r="F13" s="17">
        <f>'январь факт'!F13+'февраль факт'!F13+'март фaкт'!F13</f>
        <v>3837.4</v>
      </c>
    </row>
    <row r="14" spans="1:6" s="2" customFormat="1" ht="17.25" customHeight="1">
      <c r="A14" s="18" t="s">
        <v>12</v>
      </c>
      <c r="B14" s="5">
        <f t="shared" si="0"/>
        <v>3311.2889999999998</v>
      </c>
      <c r="C14" s="10">
        <f>'январь факт'!C14+'февраль факт'!C14+'март фaкт'!C14</f>
        <v>289.346</v>
      </c>
      <c r="D14" s="10">
        <f>'январь факт'!D14+'февраль факт'!D14+'март фaкт'!D14</f>
        <v>0</v>
      </c>
      <c r="E14" s="10">
        <f>'январь факт'!E14+'февраль факт'!E14+'март фaкт'!E14</f>
        <v>1083.498</v>
      </c>
      <c r="F14" s="17">
        <f>'январь факт'!F14+'февраль факт'!F14+'март фaкт'!F14</f>
        <v>1938.4449999999997</v>
      </c>
    </row>
    <row r="15" spans="1:6" s="2" customFormat="1" ht="35.25" customHeight="1">
      <c r="A15" s="75" t="s">
        <v>6</v>
      </c>
      <c r="B15" s="5">
        <f t="shared" si="0"/>
        <v>4941.922</v>
      </c>
      <c r="C15" s="15">
        <f>C16+C17</f>
        <v>4941.922</v>
      </c>
      <c r="D15" s="15">
        <f>D16+D17</f>
        <v>0</v>
      </c>
      <c r="E15" s="15">
        <f>E16+E17</f>
        <v>0</v>
      </c>
      <c r="F15" s="16">
        <f>F16+F17</f>
        <v>0</v>
      </c>
    </row>
    <row r="16" spans="1:6" s="2" customFormat="1" ht="19.5" customHeight="1">
      <c r="A16" s="18" t="s">
        <v>13</v>
      </c>
      <c r="B16" s="5">
        <f t="shared" si="0"/>
        <v>4940.584</v>
      </c>
      <c r="C16" s="8">
        <f>'январь факт'!C16+'февраль факт'!C16+'март фaкт'!C16</f>
        <v>4940.584</v>
      </c>
      <c r="D16" s="8">
        <f>'январь факт'!D16+'февраль факт'!D16+'март фaкт'!D16</f>
        <v>0</v>
      </c>
      <c r="E16" s="8">
        <f>'январь факт'!E16+'февраль факт'!E16+'март фaкт'!E16</f>
        <v>0</v>
      </c>
      <c r="F16" s="9">
        <f>'январь факт'!F16+'февраль факт'!F16+'март фaкт'!F16</f>
        <v>0</v>
      </c>
    </row>
    <row r="17" spans="1:6" s="2" customFormat="1" ht="18" customHeight="1">
      <c r="A17" s="18" t="s">
        <v>10</v>
      </c>
      <c r="B17" s="5">
        <f t="shared" si="0"/>
        <v>1.338</v>
      </c>
      <c r="C17" s="8">
        <f>C18+C19</f>
        <v>1.338</v>
      </c>
      <c r="D17" s="15">
        <f>D18+D19</f>
        <v>0</v>
      </c>
      <c r="E17" s="15">
        <f>E18+E19</f>
        <v>0</v>
      </c>
      <c r="F17" s="16">
        <f>F18+F19</f>
        <v>0</v>
      </c>
    </row>
    <row r="18" spans="1:6" s="2" customFormat="1" ht="19.5" customHeight="1">
      <c r="A18" s="18" t="s">
        <v>11</v>
      </c>
      <c r="B18" s="5">
        <f t="shared" si="0"/>
        <v>1.338</v>
      </c>
      <c r="C18" s="10">
        <f>'январь факт'!C18+'февраль факт'!C18+'март фaкт'!C18</f>
        <v>1.338</v>
      </c>
      <c r="D18" s="10">
        <f>'январь факт'!D18+'февраль факт'!D18+'март фaкт'!D18</f>
        <v>0</v>
      </c>
      <c r="E18" s="10">
        <f>'январь факт'!E18+'февраль факт'!E18+'март фaкт'!E18</f>
        <v>0</v>
      </c>
      <c r="F18" s="17">
        <f>'январь факт'!F18+'февраль факт'!F18+'март фaкт'!F18</f>
        <v>0</v>
      </c>
    </row>
    <row r="19" spans="1:6" s="2" customFormat="1" ht="19.5" customHeight="1">
      <c r="A19" s="18" t="s">
        <v>12</v>
      </c>
      <c r="B19" s="5">
        <f t="shared" si="0"/>
        <v>0</v>
      </c>
      <c r="C19" s="10">
        <f>'январь факт'!C19+'февраль факт'!C19+'март фaкт'!C19</f>
        <v>0</v>
      </c>
      <c r="D19" s="10">
        <f>'январь факт'!D19+'февраль факт'!D19+'март фaкт'!D19</f>
        <v>0</v>
      </c>
      <c r="E19" s="10">
        <f>'январь факт'!E19+'февраль факт'!E19+'март фaкт'!E19</f>
        <v>0</v>
      </c>
      <c r="F19" s="17">
        <f>'январь факт'!F19+'февраль факт'!F19+'март фaкт'!F19</f>
        <v>0</v>
      </c>
    </row>
    <row r="20" spans="1:6" s="2" customFormat="1" ht="51" customHeight="1">
      <c r="A20" s="75" t="s">
        <v>59</v>
      </c>
      <c r="B20" s="5">
        <f t="shared" si="0"/>
        <v>2916.063</v>
      </c>
      <c r="C20" s="15">
        <f>C21+C22</f>
        <v>24.942</v>
      </c>
      <c r="D20" s="15">
        <f>D21+D22</f>
        <v>2640.726</v>
      </c>
      <c r="E20" s="15">
        <f>E21+E22</f>
        <v>10.024</v>
      </c>
      <c r="F20" s="16">
        <f>F21+F22</f>
        <v>240.371</v>
      </c>
    </row>
    <row r="21" spans="1:6" s="2" customFormat="1" ht="21.75" customHeight="1">
      <c r="A21" s="18" t="s">
        <v>13</v>
      </c>
      <c r="B21" s="5">
        <f t="shared" si="0"/>
        <v>2854.943</v>
      </c>
      <c r="C21" s="8">
        <f>'январь факт'!C21+'февраль факт'!C21+'март фaкт'!C21</f>
        <v>24.942</v>
      </c>
      <c r="D21" s="8">
        <f>'январь факт'!D21+'февраль факт'!D21+'март фaкт'!D21</f>
        <v>2640.726</v>
      </c>
      <c r="E21" s="8">
        <f>'январь факт'!E21+'февраль факт'!E21+'март фaкт'!E21</f>
        <v>10.024</v>
      </c>
      <c r="F21" s="9">
        <f>'январь факт'!F21+'февраль факт'!F21+'март фaкт'!F21</f>
        <v>179.251</v>
      </c>
    </row>
    <row r="22" spans="1:6" s="2" customFormat="1" ht="21" customHeight="1">
      <c r="A22" s="18" t="s">
        <v>10</v>
      </c>
      <c r="B22" s="5">
        <f t="shared" si="0"/>
        <v>61.12</v>
      </c>
      <c r="C22" s="8">
        <f>C23+C24</f>
        <v>0</v>
      </c>
      <c r="D22" s="15">
        <f>D23+D24</f>
        <v>0</v>
      </c>
      <c r="E22" s="15">
        <f>E23+E24</f>
        <v>0</v>
      </c>
      <c r="F22" s="16">
        <f>F23+F24</f>
        <v>61.12</v>
      </c>
    </row>
    <row r="23" spans="1:6" s="2" customFormat="1" ht="21.75" customHeight="1">
      <c r="A23" s="18" t="s">
        <v>11</v>
      </c>
      <c r="B23" s="5">
        <f t="shared" si="0"/>
        <v>61.12</v>
      </c>
      <c r="C23" s="10">
        <f>'январь факт'!C23+'февраль факт'!C23+'март фaкт'!C23</f>
        <v>0</v>
      </c>
      <c r="D23" s="10">
        <f>'январь факт'!D23+'февраль факт'!D23+'март фaкт'!D23</f>
        <v>0</v>
      </c>
      <c r="E23" s="10">
        <f>'январь факт'!E23+'февраль факт'!E23+'март фaкт'!E23</f>
        <v>0</v>
      </c>
      <c r="F23" s="17">
        <f>'январь факт'!F23+'февраль факт'!F23+'март фaкт'!F23</f>
        <v>61.12</v>
      </c>
    </row>
    <row r="24" spans="1:6" s="2" customFormat="1" ht="21" customHeight="1">
      <c r="A24" s="18" t="s">
        <v>12</v>
      </c>
      <c r="B24" s="5">
        <f t="shared" si="0"/>
        <v>0</v>
      </c>
      <c r="C24" s="10">
        <f>'январь факт'!C24+'февраль факт'!C24+'март фaкт'!C24</f>
        <v>0</v>
      </c>
      <c r="D24" s="10">
        <f>'январь факт'!D24+'февраль факт'!D24+'март фaкт'!D24</f>
        <v>0</v>
      </c>
      <c r="E24" s="10">
        <f>'январь факт'!E24+'февраль факт'!E24+'март фaкт'!E24</f>
        <v>0</v>
      </c>
      <c r="F24" s="17">
        <f>'январь факт'!F24+'февраль факт'!F24+'март фaкт'!F24</f>
        <v>0</v>
      </c>
    </row>
    <row r="25" spans="1:6" s="2" customFormat="1" ht="41.25" customHeight="1">
      <c r="A25" s="75" t="s">
        <v>7</v>
      </c>
      <c r="B25" s="5">
        <f t="shared" si="0"/>
        <v>39026.805</v>
      </c>
      <c r="C25" s="15">
        <f>C26+C27</f>
        <v>20332.116</v>
      </c>
      <c r="D25" s="15">
        <f>D26+D27</f>
        <v>0</v>
      </c>
      <c r="E25" s="15">
        <f>E26+E27</f>
        <v>6557.387</v>
      </c>
      <c r="F25" s="16">
        <f>F26+F27</f>
        <v>12137.302</v>
      </c>
    </row>
    <row r="26" spans="1:6" s="2" customFormat="1" ht="19.5" customHeight="1">
      <c r="A26" s="18" t="s">
        <v>13</v>
      </c>
      <c r="B26" s="5">
        <f t="shared" si="0"/>
        <v>31093.626</v>
      </c>
      <c r="C26" s="8">
        <f>'январь факт'!C26+'февраль факт'!C26+'март фaкт'!C26</f>
        <v>20332.116</v>
      </c>
      <c r="D26" s="8">
        <f>'январь факт'!D26+'февраль факт'!D26+'март фaкт'!D26</f>
        <v>0</v>
      </c>
      <c r="E26" s="8">
        <f>'январь факт'!E26+'февраль факт'!E26+'март фaкт'!E26</f>
        <v>6352.047</v>
      </c>
      <c r="F26" s="9">
        <f>'январь факт'!F26+'февраль факт'!F26+'март фaкт'!F26</f>
        <v>4409.463</v>
      </c>
    </row>
    <row r="27" spans="1:6" s="2" customFormat="1" ht="24.75" customHeight="1">
      <c r="A27" s="18" t="s">
        <v>10</v>
      </c>
      <c r="B27" s="5">
        <f t="shared" si="0"/>
        <v>7933.179</v>
      </c>
      <c r="C27" s="8">
        <f>C28+C29</f>
        <v>0</v>
      </c>
      <c r="D27" s="15">
        <f>D28+D29</f>
        <v>0</v>
      </c>
      <c r="E27" s="15">
        <f>E28+E29</f>
        <v>205.33999999999997</v>
      </c>
      <c r="F27" s="16">
        <f>F28+F29</f>
        <v>7727.839</v>
      </c>
    </row>
    <row r="28" spans="1:6" s="2" customFormat="1" ht="25.5" customHeight="1">
      <c r="A28" s="18" t="s">
        <v>11</v>
      </c>
      <c r="B28" s="5">
        <f t="shared" si="0"/>
        <v>7837.15</v>
      </c>
      <c r="C28" s="10">
        <f>'январь факт'!C28+'февраль факт'!C28+'март фaкт'!C28</f>
        <v>0</v>
      </c>
      <c r="D28" s="10">
        <f>'январь факт'!D28+'февраль факт'!D28+'март фaкт'!D28</f>
        <v>0</v>
      </c>
      <c r="E28" s="10">
        <f>'январь факт'!E28+'февраль факт'!E28+'март фaкт'!E28</f>
        <v>205.33999999999997</v>
      </c>
      <c r="F28" s="17">
        <f>'январь факт'!F28+'февраль факт'!F28+'март фaкт'!F28</f>
        <v>7631.8099999999995</v>
      </c>
    </row>
    <row r="29" spans="1:6" s="2" customFormat="1" ht="20.25" customHeight="1">
      <c r="A29" s="18" t="s">
        <v>12</v>
      </c>
      <c r="B29" s="5">
        <f t="shared" si="0"/>
        <v>96.029</v>
      </c>
      <c r="C29" s="10">
        <f>'январь факт'!C29+'февраль факт'!C29+'март фaкт'!C29</f>
        <v>0</v>
      </c>
      <c r="D29" s="10">
        <f>'январь факт'!D29+'февраль факт'!D29+'март фaкт'!D29</f>
        <v>0</v>
      </c>
      <c r="E29" s="10">
        <f>'январь факт'!E29+'февраль факт'!E29+'март фaкт'!E29</f>
        <v>0</v>
      </c>
      <c r="F29" s="17">
        <f>'январь факт'!F29+'февраль факт'!F29+'март фaкт'!F29</f>
        <v>96.029</v>
      </c>
    </row>
    <row r="30" spans="1:6" s="2" customFormat="1" ht="50.25" customHeight="1">
      <c r="A30" s="75" t="s">
        <v>60</v>
      </c>
      <c r="B30" s="5">
        <f t="shared" si="0"/>
        <v>370.686</v>
      </c>
      <c r="C30" s="15">
        <f>C31+C32</f>
        <v>0</v>
      </c>
      <c r="D30" s="15">
        <f>D31+D32</f>
        <v>0</v>
      </c>
      <c r="E30" s="15">
        <f>E31+E32</f>
        <v>237.749</v>
      </c>
      <c r="F30" s="16">
        <f>F31+F32</f>
        <v>132.93699999999998</v>
      </c>
    </row>
    <row r="31" spans="1:6" s="2" customFormat="1" ht="22.5" customHeight="1">
      <c r="A31" s="18" t="s">
        <v>13</v>
      </c>
      <c r="B31" s="5">
        <f t="shared" si="0"/>
        <v>282.831</v>
      </c>
      <c r="C31" s="8">
        <f>'январь факт'!C31+'февраль факт'!C31+'март фaкт'!C31</f>
        <v>0</v>
      </c>
      <c r="D31" s="8">
        <f>'январь факт'!D31+'февраль факт'!D31+'март фaкт'!D31</f>
        <v>0</v>
      </c>
      <c r="E31" s="8">
        <f>'январь факт'!E31+'февраль факт'!E31+'март фaкт'!E31</f>
        <v>237.749</v>
      </c>
      <c r="F31" s="9">
        <f>'январь факт'!F31+'февраль факт'!F31+'март фaкт'!F31</f>
        <v>45.082</v>
      </c>
    </row>
    <row r="32" spans="1:6" s="2" customFormat="1" ht="24.75" customHeight="1">
      <c r="A32" s="18" t="s">
        <v>10</v>
      </c>
      <c r="B32" s="5">
        <f t="shared" si="0"/>
        <v>87.85499999999999</v>
      </c>
      <c r="C32" s="8">
        <f>C33+C34</f>
        <v>0</v>
      </c>
      <c r="D32" s="15">
        <f>D33+D34</f>
        <v>0</v>
      </c>
      <c r="E32" s="15">
        <f>E33+E34</f>
        <v>0</v>
      </c>
      <c r="F32" s="16">
        <f>F33+F34</f>
        <v>87.85499999999999</v>
      </c>
    </row>
    <row r="33" spans="1:6" s="2" customFormat="1" ht="18" customHeight="1">
      <c r="A33" s="18" t="s">
        <v>11</v>
      </c>
      <c r="B33" s="5">
        <f t="shared" si="0"/>
        <v>70.461</v>
      </c>
      <c r="C33" s="10">
        <f>'январь факт'!C33+'февраль факт'!C33+'март фaкт'!C33</f>
        <v>0</v>
      </c>
      <c r="D33" s="10">
        <f>'январь факт'!D33+'февраль факт'!D33+'март фaкт'!D33</f>
        <v>0</v>
      </c>
      <c r="E33" s="10">
        <f>'январь факт'!E33+'февраль факт'!E33+'март фaкт'!E33</f>
        <v>0</v>
      </c>
      <c r="F33" s="17">
        <f>'январь факт'!F33+'февраль факт'!F33+'март фaкт'!F33</f>
        <v>70.461</v>
      </c>
    </row>
    <row r="34" spans="1:6" s="2" customFormat="1" ht="18" customHeight="1">
      <c r="A34" s="18" t="s">
        <v>12</v>
      </c>
      <c r="B34" s="5">
        <f t="shared" si="0"/>
        <v>17.394</v>
      </c>
      <c r="C34" s="10">
        <f>'январь факт'!C34+'февраль факт'!C34+'март фaкт'!C34</f>
        <v>0</v>
      </c>
      <c r="D34" s="10">
        <f>'январь факт'!D34+'февраль факт'!D34+'март фaкт'!D34</f>
        <v>0</v>
      </c>
      <c r="E34" s="10">
        <f>'январь факт'!E34+'февраль факт'!E34+'март фaкт'!E34</f>
        <v>0</v>
      </c>
      <c r="F34" s="17">
        <f>'январь факт'!F34+'февраль факт'!F34+'март фaкт'!F34</f>
        <v>17.394</v>
      </c>
    </row>
    <row r="35" spans="1:6" s="2" customFormat="1" ht="25.5" customHeight="1">
      <c r="A35" s="75" t="s">
        <v>61</v>
      </c>
      <c r="B35" s="5">
        <f t="shared" si="0"/>
        <v>564.706</v>
      </c>
      <c r="C35" s="15">
        <f>C36+C37</f>
        <v>0</v>
      </c>
      <c r="D35" s="15">
        <f>D36+D37</f>
        <v>0</v>
      </c>
      <c r="E35" s="15">
        <f>E36+E37</f>
        <v>0</v>
      </c>
      <c r="F35" s="16">
        <f>F36+F37</f>
        <v>564.706</v>
      </c>
    </row>
    <row r="36" spans="1:6" s="2" customFormat="1" ht="23.25" customHeight="1">
      <c r="A36" s="18" t="s">
        <v>13</v>
      </c>
      <c r="B36" s="5">
        <f t="shared" si="0"/>
        <v>525.394</v>
      </c>
      <c r="C36" s="8">
        <f>'январь факт'!C36+'февраль факт'!C36+'март фaкт'!C36</f>
        <v>0</v>
      </c>
      <c r="D36" s="8">
        <f>'январь факт'!D36+'февраль факт'!D36+'март фaкт'!D36</f>
        <v>0</v>
      </c>
      <c r="E36" s="8">
        <f>'январь факт'!E36+'февраль факт'!E36+'март фaкт'!E36</f>
        <v>0</v>
      </c>
      <c r="F36" s="9">
        <f>'январь факт'!F36+'февраль факт'!F36+'март фaкт'!F36</f>
        <v>525.394</v>
      </c>
    </row>
    <row r="37" spans="1:6" s="2" customFormat="1" ht="23.25" customHeight="1">
      <c r="A37" s="18" t="s">
        <v>10</v>
      </c>
      <c r="B37" s="5">
        <f t="shared" si="0"/>
        <v>39.312</v>
      </c>
      <c r="C37" s="8">
        <f>C38+C39</f>
        <v>0</v>
      </c>
      <c r="D37" s="15">
        <f>D38+D39</f>
        <v>0</v>
      </c>
      <c r="E37" s="15">
        <f>E38+E39</f>
        <v>0</v>
      </c>
      <c r="F37" s="16">
        <f>F38+F39</f>
        <v>39.312</v>
      </c>
    </row>
    <row r="38" spans="1:6" s="2" customFormat="1" ht="23.25" customHeight="1">
      <c r="A38" s="18" t="s">
        <v>11</v>
      </c>
      <c r="B38" s="5">
        <f t="shared" si="0"/>
        <v>0</v>
      </c>
      <c r="C38" s="10">
        <f>'январь факт'!C38+'февраль факт'!C38+'март фaкт'!C38</f>
        <v>0</v>
      </c>
      <c r="D38" s="10">
        <f>'январь факт'!D38+'февраль факт'!D38+'март фaкт'!D38</f>
        <v>0</v>
      </c>
      <c r="E38" s="10">
        <f>'январь факт'!E38+'февраль факт'!E38+'март фaкт'!E38</f>
        <v>0</v>
      </c>
      <c r="F38" s="17">
        <f>'январь факт'!F38+'февраль факт'!F38+'март фaкт'!F38</f>
        <v>0</v>
      </c>
    </row>
    <row r="39" spans="1:6" s="2" customFormat="1" ht="23.25" customHeight="1">
      <c r="A39" s="18" t="s">
        <v>12</v>
      </c>
      <c r="B39" s="5">
        <f t="shared" si="0"/>
        <v>39.312</v>
      </c>
      <c r="C39" s="10">
        <f>'январь факт'!C39+'февраль факт'!C39+'март фaкт'!C39</f>
        <v>0</v>
      </c>
      <c r="D39" s="10">
        <f>'январь факт'!D39+'февраль факт'!D39+'март фaкт'!D39</f>
        <v>0</v>
      </c>
      <c r="E39" s="10">
        <f>'январь факт'!E39+'февраль факт'!E39+'март фaкт'!E39</f>
        <v>0</v>
      </c>
      <c r="F39" s="17">
        <f>'январь факт'!F39+'февраль факт'!F39+'март фaкт'!F39</f>
        <v>39.312</v>
      </c>
    </row>
    <row r="40" spans="1:7" s="2" customFormat="1" ht="42" customHeight="1">
      <c r="A40" s="75" t="s">
        <v>26</v>
      </c>
      <c r="B40" s="5">
        <f>C40+D40+E40+F40</f>
        <v>231.727</v>
      </c>
      <c r="C40" s="15">
        <f>C41+C42</f>
        <v>5.263</v>
      </c>
      <c r="D40" s="15">
        <f>D41+D42</f>
        <v>0</v>
      </c>
      <c r="E40" s="15">
        <f>E41+E42</f>
        <v>226.464</v>
      </c>
      <c r="F40" s="16">
        <f>F41+F42</f>
        <v>0</v>
      </c>
      <c r="G40" s="6"/>
    </row>
    <row r="41" spans="1:6" s="2" customFormat="1" ht="19.5" customHeight="1">
      <c r="A41" s="18" t="s">
        <v>13</v>
      </c>
      <c r="B41" s="5">
        <f aca="true" t="shared" si="1" ref="B41:B74">C41+D41+E41+F41</f>
        <v>231.727</v>
      </c>
      <c r="C41" s="8">
        <f>'январь факт'!C41+'февраль факт'!C41+'март фaкт'!C41</f>
        <v>5.263</v>
      </c>
      <c r="D41" s="8">
        <f>'январь факт'!D41+'февраль факт'!D41+'март фaкт'!D41</f>
        <v>0</v>
      </c>
      <c r="E41" s="8">
        <f>'январь факт'!E41+'февраль факт'!E41+'март фaкт'!E41</f>
        <v>226.464</v>
      </c>
      <c r="F41" s="9">
        <f>'январь факт'!F41+'февраль факт'!F41+'март фaкт'!F41</f>
        <v>0</v>
      </c>
    </row>
    <row r="42" spans="1:6" s="2" customFormat="1" ht="19.5" customHeight="1">
      <c r="A42" s="18" t="s">
        <v>10</v>
      </c>
      <c r="B42" s="5">
        <f t="shared" si="1"/>
        <v>0</v>
      </c>
      <c r="C42" s="8">
        <f>C43+C44</f>
        <v>0</v>
      </c>
      <c r="D42" s="15">
        <f>D43+D44</f>
        <v>0</v>
      </c>
      <c r="E42" s="15">
        <f>E43+E44</f>
        <v>0</v>
      </c>
      <c r="F42" s="16">
        <f>F43+F44</f>
        <v>0</v>
      </c>
    </row>
    <row r="43" spans="1:6" s="2" customFormat="1" ht="19.5" customHeight="1">
      <c r="A43" s="18" t="s">
        <v>11</v>
      </c>
      <c r="B43" s="5">
        <f t="shared" si="1"/>
        <v>0</v>
      </c>
      <c r="C43" s="10">
        <f>'январь факт'!C43+'февраль факт'!C43+'март фaкт'!C43</f>
        <v>0</v>
      </c>
      <c r="D43" s="10">
        <f>'январь факт'!D43+'февраль факт'!D43+'март фaкт'!D43</f>
        <v>0</v>
      </c>
      <c r="E43" s="10">
        <f>'январь факт'!E43+'февраль факт'!E43+'март фaкт'!E43</f>
        <v>0</v>
      </c>
      <c r="F43" s="17">
        <f>'январь факт'!F43+'февраль факт'!F43+'март фaкт'!F43</f>
        <v>0</v>
      </c>
    </row>
    <row r="44" spans="1:6" s="2" customFormat="1" ht="19.5" customHeight="1">
      <c r="A44" s="18" t="s">
        <v>12</v>
      </c>
      <c r="B44" s="5">
        <f t="shared" si="1"/>
        <v>0</v>
      </c>
      <c r="C44" s="10">
        <f>'январь факт'!C44+'февраль факт'!C44+'март фaкт'!C44</f>
        <v>0</v>
      </c>
      <c r="D44" s="10">
        <f>'январь факт'!D44+'февраль факт'!D44+'март фaкт'!D44</f>
        <v>0</v>
      </c>
      <c r="E44" s="10">
        <f>'январь факт'!E44+'февраль факт'!E44+'март фaкт'!E44</f>
        <v>0</v>
      </c>
      <c r="F44" s="17">
        <f>'январь факт'!F44+'февраль факт'!F44+'март фaкт'!F44</f>
        <v>0</v>
      </c>
    </row>
    <row r="45" spans="1:6" s="2" customFormat="1" ht="24.75" customHeight="1">
      <c r="A45" s="31" t="s">
        <v>29</v>
      </c>
      <c r="B45" s="5">
        <f t="shared" si="1"/>
        <v>473.415</v>
      </c>
      <c r="C45" s="15">
        <f>C46+C47</f>
        <v>0</v>
      </c>
      <c r="D45" s="15">
        <f>D46+D47</f>
        <v>0</v>
      </c>
      <c r="E45" s="15">
        <f>E46+E47</f>
        <v>215.83800000000002</v>
      </c>
      <c r="F45" s="16">
        <f>F46+F47</f>
        <v>257.577</v>
      </c>
    </row>
    <row r="46" spans="1:6" s="2" customFormat="1" ht="24.75" customHeight="1">
      <c r="A46" s="18" t="s">
        <v>13</v>
      </c>
      <c r="B46" s="5">
        <f t="shared" si="1"/>
        <v>473.415</v>
      </c>
      <c r="C46" s="8">
        <f>'январь факт'!C46+'февраль факт'!C46+'март фaкт'!C46</f>
        <v>0</v>
      </c>
      <c r="D46" s="8">
        <f>'январь факт'!D46+'февраль факт'!D46+'март фaкт'!D46</f>
        <v>0</v>
      </c>
      <c r="E46" s="8">
        <f>'январь факт'!E46+'февраль факт'!E46+'март фaкт'!E46</f>
        <v>215.83800000000002</v>
      </c>
      <c r="F46" s="9">
        <f>'январь факт'!F46+'февраль факт'!F46+'март фaкт'!F46</f>
        <v>257.577</v>
      </c>
    </row>
    <row r="47" spans="1:6" s="2" customFormat="1" ht="24.75" customHeight="1">
      <c r="A47" s="18" t="s">
        <v>10</v>
      </c>
      <c r="B47" s="5">
        <f t="shared" si="1"/>
        <v>0</v>
      </c>
      <c r="C47" s="8">
        <f>C48+C49</f>
        <v>0</v>
      </c>
      <c r="D47" s="15">
        <f>D48+D49</f>
        <v>0</v>
      </c>
      <c r="E47" s="15">
        <f>E48+E49</f>
        <v>0</v>
      </c>
      <c r="F47" s="16">
        <f>F48+F49</f>
        <v>0</v>
      </c>
    </row>
    <row r="48" spans="1:6" s="2" customFormat="1" ht="24.75" customHeight="1">
      <c r="A48" s="18" t="s">
        <v>11</v>
      </c>
      <c r="B48" s="5">
        <f t="shared" si="1"/>
        <v>0</v>
      </c>
      <c r="C48" s="10">
        <f>'январь факт'!C48+'февраль факт'!C48+'март фaкт'!C48</f>
        <v>0</v>
      </c>
      <c r="D48" s="10">
        <f>'январь факт'!D48+'февраль факт'!D48+'март фaкт'!D48</f>
        <v>0</v>
      </c>
      <c r="E48" s="10">
        <f>'январь факт'!E48+'февраль факт'!E48+'март фaкт'!E48</f>
        <v>0</v>
      </c>
      <c r="F48" s="17">
        <f>'январь факт'!F48+'февраль факт'!F48+'март фaкт'!F48</f>
        <v>0</v>
      </c>
    </row>
    <row r="49" spans="1:6" s="2" customFormat="1" ht="24.75" customHeight="1">
      <c r="A49" s="18" t="s">
        <v>12</v>
      </c>
      <c r="B49" s="5">
        <f t="shared" si="1"/>
        <v>0</v>
      </c>
      <c r="C49" s="10">
        <f>'январь факт'!C49+'февраль факт'!C49+'март фaкт'!C49</f>
        <v>0</v>
      </c>
      <c r="D49" s="10">
        <f>'январь факт'!D49+'февраль факт'!D49+'март фaкт'!D49</f>
        <v>0</v>
      </c>
      <c r="E49" s="10">
        <f>'январь факт'!E49+'февраль факт'!E49+'март фaкт'!E49</f>
        <v>0</v>
      </c>
      <c r="F49" s="17">
        <f>'январь факт'!F49+'февраль факт'!F49+'март фaкт'!F49</f>
        <v>0</v>
      </c>
    </row>
    <row r="50" spans="1:6" s="2" customFormat="1" ht="24.75" customHeight="1">
      <c r="A50" s="31" t="s">
        <v>4</v>
      </c>
      <c r="B50" s="5">
        <f t="shared" si="1"/>
        <v>2376.447</v>
      </c>
      <c r="C50" s="15">
        <f>C51+C52</f>
        <v>2376.447</v>
      </c>
      <c r="D50" s="15">
        <f>D51+D52</f>
        <v>0</v>
      </c>
      <c r="E50" s="15">
        <f>E51+E52</f>
        <v>0</v>
      </c>
      <c r="F50" s="16">
        <f>F51+F52</f>
        <v>0</v>
      </c>
    </row>
    <row r="51" spans="1:6" s="2" customFormat="1" ht="24.75" customHeight="1">
      <c r="A51" s="18" t="s">
        <v>13</v>
      </c>
      <c r="B51" s="5">
        <f t="shared" si="1"/>
        <v>2376.447</v>
      </c>
      <c r="C51" s="8">
        <f>'январь факт'!C51+'февраль факт'!C51+'март фaкт'!C51</f>
        <v>2376.447</v>
      </c>
      <c r="D51" s="8">
        <f>'январь факт'!D51+'февраль факт'!D51+'март фaкт'!D51</f>
        <v>0</v>
      </c>
      <c r="E51" s="8">
        <f>'январь факт'!E51+'февраль факт'!E51+'март фaкт'!E51</f>
        <v>0</v>
      </c>
      <c r="F51" s="9">
        <f>'январь факт'!F51+'февраль факт'!F51+'март фaкт'!F51</f>
        <v>0</v>
      </c>
    </row>
    <row r="52" spans="1:6" s="2" customFormat="1" ht="24.75" customHeight="1">
      <c r="A52" s="18" t="s">
        <v>10</v>
      </c>
      <c r="B52" s="5">
        <f t="shared" si="1"/>
        <v>0</v>
      </c>
      <c r="C52" s="8">
        <f>C53+C54</f>
        <v>0</v>
      </c>
      <c r="D52" s="15">
        <f>D53+D54</f>
        <v>0</v>
      </c>
      <c r="E52" s="15">
        <f>E53+E54</f>
        <v>0</v>
      </c>
      <c r="F52" s="16">
        <f>F53+F54</f>
        <v>0</v>
      </c>
    </row>
    <row r="53" spans="1:6" s="2" customFormat="1" ht="24.75" customHeight="1">
      <c r="A53" s="18" t="s">
        <v>11</v>
      </c>
      <c r="B53" s="5">
        <f t="shared" si="1"/>
        <v>0</v>
      </c>
      <c r="C53" s="10">
        <f>'январь факт'!C53+'февраль факт'!C53+'март фaкт'!C53</f>
        <v>0</v>
      </c>
      <c r="D53" s="10">
        <f>'январь факт'!D53+'февраль факт'!D53+'март фaкт'!D53</f>
        <v>0</v>
      </c>
      <c r="E53" s="10">
        <f>'январь факт'!E53+'февраль факт'!E53+'март фaкт'!E53</f>
        <v>0</v>
      </c>
      <c r="F53" s="17">
        <f>'январь факт'!F53+'февраль факт'!F53+'март фaкт'!F53</f>
        <v>0</v>
      </c>
    </row>
    <row r="54" spans="1:10" s="2" customFormat="1" ht="24.75" customHeight="1">
      <c r="A54" s="18" t="s">
        <v>12</v>
      </c>
      <c r="B54" s="5">
        <f t="shared" si="1"/>
        <v>0</v>
      </c>
      <c r="C54" s="10">
        <f>'январь факт'!C54+'февраль факт'!C54+'март фaкт'!C54</f>
        <v>0</v>
      </c>
      <c r="D54" s="10">
        <f>'январь факт'!D54+'февраль факт'!D54+'март фaкт'!D54</f>
        <v>0</v>
      </c>
      <c r="E54" s="10">
        <f>'январь факт'!E54+'февраль факт'!E54+'март фaкт'!E54</f>
        <v>0</v>
      </c>
      <c r="F54" s="17">
        <f>'январь факт'!F54+'февраль факт'!F54+'март фaкт'!F54</f>
        <v>0</v>
      </c>
      <c r="H54" s="70"/>
      <c r="I54" s="68"/>
      <c r="J54" s="68"/>
    </row>
    <row r="55" spans="1:6" s="2" customFormat="1" ht="50.25" customHeight="1">
      <c r="A55" s="75" t="s">
        <v>62</v>
      </c>
      <c r="B55" s="5">
        <f t="shared" si="1"/>
        <v>2992.682</v>
      </c>
      <c r="C55" s="15">
        <f>C56+C57</f>
        <v>0</v>
      </c>
      <c r="D55" s="15">
        <f>D56+D57</f>
        <v>0</v>
      </c>
      <c r="E55" s="15">
        <f>E56+E57</f>
        <v>1501.5739999999998</v>
      </c>
      <c r="F55" s="16">
        <f>F56+F57</f>
        <v>1491.1080000000002</v>
      </c>
    </row>
    <row r="56" spans="1:6" s="2" customFormat="1" ht="26.25" customHeight="1">
      <c r="A56" s="18" t="s">
        <v>13</v>
      </c>
      <c r="B56" s="5">
        <f t="shared" si="1"/>
        <v>2047.7469999999998</v>
      </c>
      <c r="C56" s="8">
        <f>'январь факт'!C56+'февраль факт'!C56+'март фaкт'!C56</f>
        <v>0</v>
      </c>
      <c r="D56" s="8">
        <f>'январь факт'!D56+'февраль факт'!D56+'март фaкт'!D56</f>
        <v>0</v>
      </c>
      <c r="E56" s="8">
        <f>'январь факт'!E56+'февраль факт'!E56+'март фaкт'!E56</f>
        <v>1501.5739999999998</v>
      </c>
      <c r="F56" s="9">
        <f>'январь факт'!F56+'февраль факт'!F56+'март фaкт'!F56</f>
        <v>546.173</v>
      </c>
    </row>
    <row r="57" spans="1:6" s="2" customFormat="1" ht="26.25" customHeight="1">
      <c r="A57" s="18" t="s">
        <v>10</v>
      </c>
      <c r="B57" s="5">
        <f t="shared" si="1"/>
        <v>944.9350000000001</v>
      </c>
      <c r="C57" s="8">
        <f>C58+C59</f>
        <v>0</v>
      </c>
      <c r="D57" s="15">
        <f>D58+D59</f>
        <v>0</v>
      </c>
      <c r="E57" s="15">
        <f>E58+E59</f>
        <v>0</v>
      </c>
      <c r="F57" s="16">
        <f>F58+F59</f>
        <v>944.9350000000001</v>
      </c>
    </row>
    <row r="58" spans="1:6" s="2" customFormat="1" ht="26.25" customHeight="1">
      <c r="A58" s="18" t="s">
        <v>11</v>
      </c>
      <c r="B58" s="5">
        <f t="shared" si="1"/>
        <v>827.421</v>
      </c>
      <c r="C58" s="10">
        <f>'январь факт'!C58+'февраль факт'!C58+'март фaкт'!C58</f>
        <v>0</v>
      </c>
      <c r="D58" s="10">
        <f>'январь факт'!D58+'февраль факт'!D58+'март фaкт'!D58</f>
        <v>0</v>
      </c>
      <c r="E58" s="10">
        <f>'январь факт'!E58+'февраль факт'!E58+'март фaкт'!E58</f>
        <v>0</v>
      </c>
      <c r="F58" s="17">
        <f>'январь факт'!F58+'февраль факт'!F58+'март фaкт'!F58</f>
        <v>827.421</v>
      </c>
    </row>
    <row r="59" spans="1:6" s="2" customFormat="1" ht="26.25" customHeight="1">
      <c r="A59" s="18" t="s">
        <v>12</v>
      </c>
      <c r="B59" s="5">
        <f t="shared" si="1"/>
        <v>117.514</v>
      </c>
      <c r="C59" s="10">
        <f>'январь факт'!C59+'февраль факт'!C59+'март фaкт'!C59</f>
        <v>0</v>
      </c>
      <c r="D59" s="10">
        <f>'январь факт'!D59+'февраль факт'!D59+'март фaкт'!D59</f>
        <v>0</v>
      </c>
      <c r="E59" s="10">
        <f>'январь факт'!E59+'февраль факт'!E59+'март фaкт'!E59</f>
        <v>0</v>
      </c>
      <c r="F59" s="17">
        <f>'январь факт'!F59+'февраль факт'!F59+'март фaкт'!F59</f>
        <v>117.514</v>
      </c>
    </row>
    <row r="60" spans="1:6" s="2" customFormat="1" ht="24.75" customHeight="1">
      <c r="A60" s="75" t="s">
        <v>28</v>
      </c>
      <c r="B60" s="5">
        <f t="shared" si="1"/>
        <v>5717.85</v>
      </c>
      <c r="C60" s="15">
        <f>C61+C62</f>
        <v>5667.25</v>
      </c>
      <c r="D60" s="15">
        <f>D61+D62</f>
        <v>0</v>
      </c>
      <c r="E60" s="15">
        <f>E61+E62</f>
        <v>0</v>
      </c>
      <c r="F60" s="16">
        <f>F61+F62</f>
        <v>50.6</v>
      </c>
    </row>
    <row r="61" spans="1:6" s="2" customFormat="1" ht="21.75" customHeight="1">
      <c r="A61" s="18" t="s">
        <v>13</v>
      </c>
      <c r="B61" s="5">
        <f t="shared" si="1"/>
        <v>5717.85</v>
      </c>
      <c r="C61" s="8">
        <f>'январь факт'!C61+'февраль факт'!C61+'март фaкт'!C61</f>
        <v>5667.25</v>
      </c>
      <c r="D61" s="8">
        <f>'январь факт'!D61+'февраль факт'!D61+'март фaкт'!D61</f>
        <v>0</v>
      </c>
      <c r="E61" s="8">
        <f>'январь факт'!E61+'февраль факт'!E61+'март фaкт'!E61</f>
        <v>0</v>
      </c>
      <c r="F61" s="9">
        <f>'январь факт'!F61+'февраль факт'!F61+'март фaкт'!F61</f>
        <v>50.6</v>
      </c>
    </row>
    <row r="62" spans="1:6" s="2" customFormat="1" ht="16.5" customHeight="1">
      <c r="A62" s="18" t="s">
        <v>10</v>
      </c>
      <c r="B62" s="5">
        <f t="shared" si="1"/>
        <v>0</v>
      </c>
      <c r="C62" s="8">
        <f>C63+C64</f>
        <v>0</v>
      </c>
      <c r="D62" s="15">
        <f>D63+D64</f>
        <v>0</v>
      </c>
      <c r="E62" s="15">
        <f>E63+E64</f>
        <v>0</v>
      </c>
      <c r="F62" s="16">
        <f>F63+F64</f>
        <v>0</v>
      </c>
    </row>
    <row r="63" spans="1:6" s="2" customFormat="1" ht="18" customHeight="1">
      <c r="A63" s="18" t="s">
        <v>11</v>
      </c>
      <c r="B63" s="5">
        <f t="shared" si="1"/>
        <v>0</v>
      </c>
      <c r="C63" s="10">
        <f>'январь факт'!C63+'февраль факт'!C63+'март фaкт'!C63</f>
        <v>0</v>
      </c>
      <c r="D63" s="10">
        <f>'январь факт'!D63+'февраль факт'!D63+'март фaкт'!D63</f>
        <v>0</v>
      </c>
      <c r="E63" s="10">
        <f>'январь факт'!E63+'февраль факт'!E63+'март фaкт'!E63</f>
        <v>0</v>
      </c>
      <c r="F63" s="17">
        <f>'январь факт'!F63+'февраль факт'!F63+'март фaкт'!F63</f>
        <v>0</v>
      </c>
    </row>
    <row r="64" spans="1:6" s="2" customFormat="1" ht="18" customHeight="1">
      <c r="A64" s="18" t="s">
        <v>12</v>
      </c>
      <c r="B64" s="5">
        <f t="shared" si="1"/>
        <v>0</v>
      </c>
      <c r="C64" s="10">
        <f>'январь факт'!C64+'февраль факт'!C64+'март фaкт'!C64</f>
        <v>0</v>
      </c>
      <c r="D64" s="10">
        <f>'январь факт'!D64+'февраль факт'!D64+'март фaкт'!D64</f>
        <v>0</v>
      </c>
      <c r="E64" s="10">
        <f>'январь факт'!E64+'февраль факт'!E64+'март фaкт'!E64</f>
        <v>0</v>
      </c>
      <c r="F64" s="17">
        <f>'январь факт'!F64+'февраль факт'!F64+'март фaкт'!F64</f>
        <v>0</v>
      </c>
    </row>
    <row r="65" spans="1:6" s="2" customFormat="1" ht="24.75" customHeight="1">
      <c r="A65" s="75" t="s">
        <v>63</v>
      </c>
      <c r="B65" s="5">
        <f t="shared" si="1"/>
        <v>0</v>
      </c>
      <c r="C65" s="15">
        <f>C66+C67</f>
        <v>0</v>
      </c>
      <c r="D65" s="15">
        <f>D66+D67</f>
        <v>0</v>
      </c>
      <c r="E65" s="15">
        <f>E66+E67</f>
        <v>0</v>
      </c>
      <c r="F65" s="16">
        <f>F66+F67</f>
        <v>0</v>
      </c>
    </row>
    <row r="66" spans="1:6" s="2" customFormat="1" ht="21.75" customHeight="1">
      <c r="A66" s="18" t="s">
        <v>13</v>
      </c>
      <c r="B66" s="5">
        <f t="shared" si="1"/>
        <v>0</v>
      </c>
      <c r="C66" s="8">
        <f>'январь факт'!C66+'февраль факт'!C66+'март фaкт'!C66</f>
        <v>0</v>
      </c>
      <c r="D66" s="8">
        <f>'январь факт'!D66+'февраль факт'!D66+'март фaкт'!D66</f>
        <v>0</v>
      </c>
      <c r="E66" s="8">
        <f>'январь факт'!E66+'февраль факт'!E66+'март фaкт'!E66</f>
        <v>0</v>
      </c>
      <c r="F66" s="9">
        <f>'январь факт'!F66+'февраль факт'!F66+'март фaкт'!F66</f>
        <v>0</v>
      </c>
    </row>
    <row r="67" spans="1:6" s="2" customFormat="1" ht="18" customHeight="1">
      <c r="A67" s="18" t="s">
        <v>10</v>
      </c>
      <c r="B67" s="5">
        <f t="shared" si="1"/>
        <v>0</v>
      </c>
      <c r="C67" s="8">
        <f>C68+C69</f>
        <v>0</v>
      </c>
      <c r="D67" s="15">
        <f>D68+D69</f>
        <v>0</v>
      </c>
      <c r="E67" s="15">
        <f>E68+E69</f>
        <v>0</v>
      </c>
      <c r="F67" s="16">
        <f>F68+F69</f>
        <v>0</v>
      </c>
    </row>
    <row r="68" spans="1:6" s="2" customFormat="1" ht="19.5" customHeight="1">
      <c r="A68" s="18" t="s">
        <v>11</v>
      </c>
      <c r="B68" s="5">
        <f t="shared" si="1"/>
        <v>0</v>
      </c>
      <c r="C68" s="10">
        <f>'январь факт'!C68+'февраль факт'!C68+'март фaкт'!C68</f>
        <v>0</v>
      </c>
      <c r="D68" s="10">
        <f>'январь факт'!D68+'февраль факт'!D68+'март фaкт'!D68</f>
        <v>0</v>
      </c>
      <c r="E68" s="10">
        <f>'январь факт'!E68+'февраль факт'!E68+'март фaкт'!E68</f>
        <v>0</v>
      </c>
      <c r="F68" s="17">
        <f>'январь факт'!F68+'февраль факт'!F68+'март фaкт'!F68</f>
        <v>0</v>
      </c>
    </row>
    <row r="69" spans="1:6" s="2" customFormat="1" ht="19.5" customHeight="1">
      <c r="A69" s="18" t="s">
        <v>12</v>
      </c>
      <c r="B69" s="5">
        <f t="shared" si="1"/>
        <v>0</v>
      </c>
      <c r="C69" s="10">
        <f>'январь факт'!C69+'февраль факт'!C69+'март фaкт'!C69</f>
        <v>0</v>
      </c>
      <c r="D69" s="10">
        <f>'январь факт'!D69+'февраль факт'!D69+'март фaкт'!D69</f>
        <v>0</v>
      </c>
      <c r="E69" s="10">
        <f>'январь факт'!E69+'февраль факт'!E69+'март фaкт'!E69</f>
        <v>0</v>
      </c>
      <c r="F69" s="17">
        <f>'январь факт'!F69+'февраль факт'!F69+'март фaкт'!F69</f>
        <v>0</v>
      </c>
    </row>
    <row r="70" spans="1:6" s="3" customFormat="1" ht="41.25" customHeight="1">
      <c r="A70" s="75" t="s">
        <v>25</v>
      </c>
      <c r="B70" s="5">
        <f t="shared" si="1"/>
        <v>244.306</v>
      </c>
      <c r="C70" s="15">
        <f>C71+C72</f>
        <v>0</v>
      </c>
      <c r="D70" s="15">
        <f>D71+D72</f>
        <v>0</v>
      </c>
      <c r="E70" s="15">
        <f>E71+E72</f>
        <v>0</v>
      </c>
      <c r="F70" s="16">
        <f>F71+F72</f>
        <v>244.306</v>
      </c>
    </row>
    <row r="71" spans="1:6" s="3" customFormat="1" ht="27.75" customHeight="1">
      <c r="A71" s="18" t="s">
        <v>13</v>
      </c>
      <c r="B71" s="5">
        <f t="shared" si="1"/>
        <v>63.244</v>
      </c>
      <c r="C71" s="8">
        <f>'январь факт'!C71+'февраль факт'!C71+'март фaкт'!C71</f>
        <v>0</v>
      </c>
      <c r="D71" s="8">
        <f>'январь факт'!D71+'февраль факт'!D71+'март фaкт'!D71</f>
        <v>0</v>
      </c>
      <c r="E71" s="8">
        <f>'январь факт'!E71+'февраль факт'!E71+'март фaкт'!E71</f>
        <v>0</v>
      </c>
      <c r="F71" s="9">
        <f>'январь факт'!F71+'февраль факт'!F71+'март фaкт'!F71</f>
        <v>63.244</v>
      </c>
    </row>
    <row r="72" spans="1:6" s="3" customFormat="1" ht="27.75" customHeight="1">
      <c r="A72" s="18" t="s">
        <v>10</v>
      </c>
      <c r="B72" s="5">
        <f t="shared" si="1"/>
        <v>181.062</v>
      </c>
      <c r="C72" s="8">
        <f>C73+C74</f>
        <v>0</v>
      </c>
      <c r="D72" s="15">
        <f>D73+D74</f>
        <v>0</v>
      </c>
      <c r="E72" s="15">
        <f>E73+E74</f>
        <v>0</v>
      </c>
      <c r="F72" s="16">
        <f>F73+F74</f>
        <v>181.062</v>
      </c>
    </row>
    <row r="73" spans="1:6" s="3" customFormat="1" ht="27.75" customHeight="1">
      <c r="A73" s="18" t="s">
        <v>11</v>
      </c>
      <c r="B73" s="5">
        <f t="shared" si="1"/>
        <v>181.062</v>
      </c>
      <c r="C73" s="10">
        <f>'январь факт'!C73+'февраль факт'!C73+'март фaкт'!C73</f>
        <v>0</v>
      </c>
      <c r="D73" s="10">
        <f>'январь факт'!D73+'февраль факт'!D73+'март фaкт'!D73</f>
        <v>0</v>
      </c>
      <c r="E73" s="10">
        <f>'январь факт'!E73+'февраль факт'!E73+'март фaкт'!E73</f>
        <v>0</v>
      </c>
      <c r="F73" s="17">
        <f>'январь факт'!F73+'февраль факт'!F73+'март фaкт'!F73</f>
        <v>181.062</v>
      </c>
    </row>
    <row r="74" spans="1:6" s="3" customFormat="1" ht="27.75" customHeight="1">
      <c r="A74" s="18" t="s">
        <v>12</v>
      </c>
      <c r="B74" s="5">
        <f t="shared" si="1"/>
        <v>0</v>
      </c>
      <c r="C74" s="10">
        <f>'январь факт'!C74+'февраль факт'!C74+'март фaкт'!C74</f>
        <v>0</v>
      </c>
      <c r="D74" s="10">
        <f>'январь факт'!D74+'февраль факт'!D74+'март фaкт'!D74</f>
        <v>0</v>
      </c>
      <c r="E74" s="10">
        <f>'январь факт'!E74+'февраль факт'!E74+'март фaкт'!E74</f>
        <v>0</v>
      </c>
      <c r="F74" s="17">
        <f>'январь факт'!F74+'февраль факт'!F74+'март фaкт'!F74</f>
        <v>0</v>
      </c>
    </row>
    <row r="75" spans="1:6" s="3" customFormat="1" ht="40.5" customHeight="1">
      <c r="A75" s="75" t="s">
        <v>64</v>
      </c>
      <c r="B75" s="5">
        <f aca="true" t="shared" si="2" ref="B75:B99">C75+D75+E75+F75</f>
        <v>829.1569999999999</v>
      </c>
      <c r="C75" s="15">
        <f>C76+C77</f>
        <v>0</v>
      </c>
      <c r="D75" s="15">
        <f>D76+D77</f>
        <v>0</v>
      </c>
      <c r="E75" s="15">
        <f>E76+E77</f>
        <v>48.407999999999994</v>
      </c>
      <c r="F75" s="16">
        <f>F76+F77</f>
        <v>780.7489999999999</v>
      </c>
    </row>
    <row r="76" spans="1:6" s="3" customFormat="1" ht="21" customHeight="1">
      <c r="A76" s="18" t="s">
        <v>13</v>
      </c>
      <c r="B76" s="5">
        <f t="shared" si="2"/>
        <v>225.42</v>
      </c>
      <c r="C76" s="8">
        <f>'январь факт'!C76+'февраль факт'!C76+'март фaкт'!C76</f>
        <v>0</v>
      </c>
      <c r="D76" s="8">
        <f>'январь факт'!D76+'февраль факт'!D76+'март фaкт'!D76</f>
        <v>0</v>
      </c>
      <c r="E76" s="8">
        <f>'январь факт'!E76+'февраль факт'!E76+'март фaкт'!E76</f>
        <v>46.885999999999996</v>
      </c>
      <c r="F76" s="9">
        <f>'январь факт'!F76+'февраль факт'!F76+'март фaкт'!F76</f>
        <v>178.534</v>
      </c>
    </row>
    <row r="77" spans="1:6" s="3" customFormat="1" ht="21" customHeight="1">
      <c r="A77" s="18" t="s">
        <v>10</v>
      </c>
      <c r="B77" s="5">
        <f t="shared" si="2"/>
        <v>603.737</v>
      </c>
      <c r="C77" s="8">
        <f>C78+C79</f>
        <v>0</v>
      </c>
      <c r="D77" s="15">
        <f>D78+D79</f>
        <v>0</v>
      </c>
      <c r="E77" s="15">
        <f>E78+E79</f>
        <v>1.522</v>
      </c>
      <c r="F77" s="16">
        <f>F78+F79</f>
        <v>602.2149999999999</v>
      </c>
    </row>
    <row r="78" spans="1:6" s="6" customFormat="1" ht="25.5" customHeight="1">
      <c r="A78" s="18" t="s">
        <v>11</v>
      </c>
      <c r="B78" s="5">
        <f t="shared" si="2"/>
        <v>0</v>
      </c>
      <c r="C78" s="10">
        <f>'январь факт'!C78+'февраль факт'!C78+'март фaкт'!C78</f>
        <v>0</v>
      </c>
      <c r="D78" s="10">
        <f>'январь факт'!D78+'февраль факт'!D78+'март фaкт'!D78</f>
        <v>0</v>
      </c>
      <c r="E78" s="10">
        <f>'январь факт'!E78+'февраль факт'!E78+'март фaкт'!E78</f>
        <v>0</v>
      </c>
      <c r="F78" s="17">
        <f>'январь факт'!F78+'февраль факт'!F78+'март фaкт'!F78</f>
        <v>0</v>
      </c>
    </row>
    <row r="79" spans="1:6" ht="21" customHeight="1">
      <c r="A79" s="18" t="s">
        <v>12</v>
      </c>
      <c r="B79" s="5">
        <f t="shared" si="2"/>
        <v>603.737</v>
      </c>
      <c r="C79" s="10">
        <f>'январь факт'!C79+'февраль факт'!C79+'март фaкт'!C79</f>
        <v>0</v>
      </c>
      <c r="D79" s="10">
        <f>'январь факт'!D79+'февраль факт'!D79+'март фaкт'!D79</f>
        <v>0</v>
      </c>
      <c r="E79" s="10">
        <f>'январь факт'!E79+'февраль факт'!E79+'март фaкт'!E79</f>
        <v>1.522</v>
      </c>
      <c r="F79" s="17">
        <f>'январь факт'!F79+'февраль факт'!F79+'март фaкт'!F79</f>
        <v>602.2149999999999</v>
      </c>
    </row>
    <row r="80" spans="1:8" ht="21" customHeight="1">
      <c r="A80" s="75" t="s">
        <v>8</v>
      </c>
      <c r="B80" s="5">
        <f t="shared" si="2"/>
        <v>3624.434</v>
      </c>
      <c r="C80" s="15">
        <f>C81+C82</f>
        <v>0</v>
      </c>
      <c r="D80" s="15">
        <f>D81+D82</f>
        <v>0</v>
      </c>
      <c r="E80" s="15">
        <f>E81+E82</f>
        <v>1735.644</v>
      </c>
      <c r="F80" s="16">
        <f>F81+F82</f>
        <v>1888.79</v>
      </c>
      <c r="G80" s="27"/>
      <c r="H80" s="23"/>
    </row>
    <row r="81" spans="1:6" ht="21" customHeight="1">
      <c r="A81" s="18" t="s">
        <v>13</v>
      </c>
      <c r="B81" s="5">
        <f t="shared" si="2"/>
        <v>1975.737</v>
      </c>
      <c r="C81" s="8">
        <f>'январь факт'!C81+'февраль факт'!C81+'март фaкт'!C81</f>
        <v>0</v>
      </c>
      <c r="D81" s="8">
        <f>'январь факт'!D81+'февраль факт'!D81+'март фaкт'!D81</f>
        <v>0</v>
      </c>
      <c r="E81" s="8">
        <f>'январь факт'!E81+'февраль факт'!E81+'март фaкт'!E81</f>
        <v>1376.493</v>
      </c>
      <c r="F81" s="9">
        <f>'январь факт'!F81+'февраль факт'!F81+'март фaкт'!F81</f>
        <v>599.244</v>
      </c>
    </row>
    <row r="82" spans="1:6" ht="21" customHeight="1">
      <c r="A82" s="18" t="s">
        <v>10</v>
      </c>
      <c r="B82" s="5">
        <f t="shared" si="2"/>
        <v>1648.6970000000001</v>
      </c>
      <c r="C82" s="8">
        <f>C83+C84</f>
        <v>0</v>
      </c>
      <c r="D82" s="15">
        <f>D83+D84</f>
        <v>0</v>
      </c>
      <c r="E82" s="15">
        <f>E83+E84</f>
        <v>359.151</v>
      </c>
      <c r="F82" s="16">
        <f>F83+F84</f>
        <v>1289.546</v>
      </c>
    </row>
    <row r="83" spans="1:6" ht="21" customHeight="1">
      <c r="A83" s="18" t="s">
        <v>11</v>
      </c>
      <c r="B83" s="5">
        <f t="shared" si="2"/>
        <v>1330.45</v>
      </c>
      <c r="C83" s="10">
        <f>'январь факт'!C83+'февраль факт'!C83+'март фaкт'!C83</f>
        <v>0</v>
      </c>
      <c r="D83" s="10">
        <f>'январь факт'!D83+'февраль факт'!D83+'март фaкт'!D83</f>
        <v>0</v>
      </c>
      <c r="E83" s="10">
        <f>'январь факт'!E83+'февраль факт'!E83+'март фaкт'!E83</f>
        <v>354.286</v>
      </c>
      <c r="F83" s="17">
        <f>'январь факт'!F83+'февраль факт'!F83+'март фaкт'!F83</f>
        <v>976.164</v>
      </c>
    </row>
    <row r="84" spans="1:6" ht="21" customHeight="1">
      <c r="A84" s="18" t="s">
        <v>12</v>
      </c>
      <c r="B84" s="5">
        <f t="shared" si="2"/>
        <v>318.247</v>
      </c>
      <c r="C84" s="10">
        <f>'январь факт'!C84+'февраль факт'!C84+'март фaкт'!C84</f>
        <v>0</v>
      </c>
      <c r="D84" s="10">
        <f>'январь факт'!D84+'февраль факт'!D84+'март фaкт'!D84</f>
        <v>0</v>
      </c>
      <c r="E84" s="10">
        <f>'январь факт'!E84+'февраль факт'!E84+'март фaкт'!E84</f>
        <v>4.865</v>
      </c>
      <c r="F84" s="17">
        <f>'январь факт'!F84+'февраль факт'!F84+'март фaкт'!F84</f>
        <v>313.382</v>
      </c>
    </row>
    <row r="85" spans="1:6" ht="21" customHeight="1">
      <c r="A85" s="75" t="s">
        <v>5</v>
      </c>
      <c r="B85" s="5">
        <f t="shared" si="2"/>
        <v>9963.17</v>
      </c>
      <c r="C85" s="15">
        <f>C86+C87</f>
        <v>1391.655</v>
      </c>
      <c r="D85" s="15">
        <f>D86+D87</f>
        <v>0</v>
      </c>
      <c r="E85" s="15">
        <f>E86+E87</f>
        <v>5476.849</v>
      </c>
      <c r="F85" s="16">
        <f>F86+F87</f>
        <v>3094.666</v>
      </c>
    </row>
    <row r="86" spans="1:6" ht="21" customHeight="1">
      <c r="A86" s="18" t="s">
        <v>13</v>
      </c>
      <c r="B86" s="5">
        <f t="shared" si="2"/>
        <v>6572.022</v>
      </c>
      <c r="C86" s="8">
        <f>'январь факт'!C86+'февраль факт'!C86+'март фaкт'!C86</f>
        <v>1391.655</v>
      </c>
      <c r="D86" s="8">
        <f>'январь факт'!D86+'февраль факт'!D86+'март фaкт'!D86</f>
        <v>0</v>
      </c>
      <c r="E86" s="8">
        <f>'январь факт'!E86+'февраль факт'!E86+'март фaкт'!E86</f>
        <v>3765.059</v>
      </c>
      <c r="F86" s="9">
        <f>'январь факт'!F86+'февраль факт'!F86+'март фaкт'!F86</f>
        <v>1415.308</v>
      </c>
    </row>
    <row r="87" spans="1:6" ht="21" customHeight="1">
      <c r="A87" s="18" t="s">
        <v>10</v>
      </c>
      <c r="B87" s="5">
        <f t="shared" si="2"/>
        <v>3391.148</v>
      </c>
      <c r="C87" s="8">
        <f>C88+C89</f>
        <v>0</v>
      </c>
      <c r="D87" s="15">
        <f>D88+D89</f>
        <v>0</v>
      </c>
      <c r="E87" s="15">
        <f>E88+E89</f>
        <v>1711.7900000000002</v>
      </c>
      <c r="F87" s="16">
        <f>F88+F89</f>
        <v>1679.358</v>
      </c>
    </row>
    <row r="88" spans="1:6" ht="21" customHeight="1">
      <c r="A88" s="18" t="s">
        <v>11</v>
      </c>
      <c r="B88" s="5">
        <f t="shared" si="2"/>
        <v>3360.428</v>
      </c>
      <c r="C88" s="10">
        <f>'январь факт'!C88+'февраль факт'!C88+'март фaкт'!C88</f>
        <v>0</v>
      </c>
      <c r="D88" s="10">
        <f>'январь факт'!D88+'февраль факт'!D88+'март фaкт'!D88</f>
        <v>0</v>
      </c>
      <c r="E88" s="10">
        <f>'январь факт'!E88+'февраль факт'!E88+'март фaкт'!E88</f>
        <v>1681.0700000000002</v>
      </c>
      <c r="F88" s="17">
        <f>'январь факт'!F88+'февраль факт'!F88+'март фaкт'!F88</f>
        <v>1679.358</v>
      </c>
    </row>
    <row r="89" spans="1:6" ht="21" customHeight="1">
      <c r="A89" s="18" t="s">
        <v>12</v>
      </c>
      <c r="B89" s="5">
        <f t="shared" si="2"/>
        <v>30.72</v>
      </c>
      <c r="C89" s="10">
        <f>'январь факт'!C89+'февраль факт'!C89+'март фaкт'!C89</f>
        <v>0</v>
      </c>
      <c r="D89" s="10">
        <f>'январь факт'!D89+'февраль факт'!D89+'март фaкт'!D89</f>
        <v>0</v>
      </c>
      <c r="E89" s="10">
        <f>'январь факт'!E89+'февраль факт'!E89+'март фaкт'!E89</f>
        <v>30.72</v>
      </c>
      <c r="F89" s="17">
        <f>'январь факт'!F89+'февраль факт'!F89+'март фaкт'!F89</f>
        <v>0</v>
      </c>
    </row>
    <row r="90" spans="1:6" ht="37.5" customHeight="1">
      <c r="A90" s="75" t="s">
        <v>65</v>
      </c>
      <c r="B90" s="5">
        <f t="shared" si="2"/>
        <v>20488.616</v>
      </c>
      <c r="C90" s="15">
        <f>C91+C92</f>
        <v>0</v>
      </c>
      <c r="D90" s="15">
        <f>D91+D92</f>
        <v>0</v>
      </c>
      <c r="E90" s="15">
        <f>E91+E92</f>
        <v>4805.643000000001</v>
      </c>
      <c r="F90" s="16">
        <f>F91+F92</f>
        <v>15682.973</v>
      </c>
    </row>
    <row r="91" spans="1:6" ht="21" customHeight="1">
      <c r="A91" s="18" t="s">
        <v>13</v>
      </c>
      <c r="B91" s="5">
        <f t="shared" si="2"/>
        <v>10391.137</v>
      </c>
      <c r="C91" s="8">
        <f>'январь факт'!C91+'февраль факт'!C91+'март фaкт'!C91</f>
        <v>0</v>
      </c>
      <c r="D91" s="8">
        <f>'январь факт'!D91+'февраль факт'!D91+'март фaкт'!D91</f>
        <v>0</v>
      </c>
      <c r="E91" s="8">
        <f>'январь факт'!E91+'февраль факт'!E91+'март фaкт'!E91</f>
        <v>4670.4490000000005</v>
      </c>
      <c r="F91" s="9">
        <f>'январь факт'!F91+'февраль факт'!F91+'март фaкт'!F91</f>
        <v>5720.688</v>
      </c>
    </row>
    <row r="92" spans="1:6" ht="21" customHeight="1">
      <c r="A92" s="18" t="s">
        <v>10</v>
      </c>
      <c r="B92" s="5">
        <f t="shared" si="2"/>
        <v>10097.479</v>
      </c>
      <c r="C92" s="8">
        <f>C93+C94</f>
        <v>0</v>
      </c>
      <c r="D92" s="15">
        <f>D93+D94</f>
        <v>0</v>
      </c>
      <c r="E92" s="15">
        <f>E93+E94</f>
        <v>135.19400000000002</v>
      </c>
      <c r="F92" s="16">
        <f>F93+F94</f>
        <v>9962.285</v>
      </c>
    </row>
    <row r="93" spans="1:6" ht="21" customHeight="1">
      <c r="A93" s="18" t="s">
        <v>11</v>
      </c>
      <c r="B93" s="5">
        <f t="shared" si="2"/>
        <v>2505.456</v>
      </c>
      <c r="C93" s="10">
        <f>'январь факт'!C93+'февраль факт'!C93+'март фaкт'!C93</f>
        <v>0</v>
      </c>
      <c r="D93" s="10">
        <f>'январь факт'!D93+'февраль факт'!D93+'март фaкт'!D93</f>
        <v>0</v>
      </c>
      <c r="E93" s="10">
        <f>'январь факт'!E93+'февраль факт'!E93+'март фaкт'!E93</f>
        <v>67.967</v>
      </c>
      <c r="F93" s="17">
        <f>'январь факт'!F93+'февраль факт'!F93+'март фaкт'!F93</f>
        <v>2437.489</v>
      </c>
    </row>
    <row r="94" spans="1:6" ht="21" customHeight="1" thickBot="1">
      <c r="A94" s="19" t="s">
        <v>12</v>
      </c>
      <c r="B94" s="34">
        <f t="shared" si="2"/>
        <v>7592.023</v>
      </c>
      <c r="C94" s="24">
        <f>'январь факт'!C94+'февраль факт'!C94+'март фaкт'!C94</f>
        <v>0</v>
      </c>
      <c r="D94" s="24">
        <f>'январь факт'!D94+'февраль факт'!D94+'март фaкт'!D94</f>
        <v>0</v>
      </c>
      <c r="E94" s="24">
        <f>'январь факт'!E94+'февраль факт'!E94+'март фaкт'!E94</f>
        <v>67.227</v>
      </c>
      <c r="F94" s="25">
        <f>'январь факт'!F94+'февраль факт'!F94+'март фaкт'!F94</f>
        <v>7524.796</v>
      </c>
    </row>
    <row r="95" spans="1:6" ht="21" customHeight="1">
      <c r="A95" s="54" t="s">
        <v>21</v>
      </c>
      <c r="B95" s="76">
        <f t="shared" si="2"/>
        <v>1079.048</v>
      </c>
      <c r="C95" s="128">
        <f>'январь факт'!C95+'февраль факт'!C95+'март фaкт'!C95</f>
        <v>0</v>
      </c>
      <c r="D95" s="128">
        <f>'январь факт'!D95+'февраль факт'!D95+'март фaкт'!D95</f>
        <v>0</v>
      </c>
      <c r="E95" s="128">
        <f>'январь факт'!E95+'февраль факт'!E95+'март фaкт'!E95</f>
        <v>1079.048</v>
      </c>
      <c r="F95" s="129">
        <f>'январь факт'!F95+'февраль факт'!F95+'март фaкт'!F95</f>
        <v>0</v>
      </c>
    </row>
    <row r="96" spans="1:6" ht="21" customHeight="1">
      <c r="A96" s="31" t="s">
        <v>22</v>
      </c>
      <c r="B96" s="5">
        <f t="shared" si="2"/>
        <v>181.18099999999998</v>
      </c>
      <c r="C96" s="8">
        <f>'январь факт'!C96+'февраль факт'!C96+'март фaкт'!C96</f>
        <v>0</v>
      </c>
      <c r="D96" s="8">
        <f>'январь факт'!D96+'февраль факт'!D96+'март фaкт'!D96</f>
        <v>0</v>
      </c>
      <c r="E96" s="8">
        <f>'январь факт'!E96+'февраль факт'!E96+'март фaкт'!E96</f>
        <v>181.18099999999998</v>
      </c>
      <c r="F96" s="9">
        <f>'январь факт'!F96+'февраль факт'!F96+'март фaкт'!F96</f>
        <v>0</v>
      </c>
    </row>
    <row r="97" spans="1:6" ht="21" customHeight="1">
      <c r="A97" s="31" t="s">
        <v>27</v>
      </c>
      <c r="B97" s="5">
        <f t="shared" si="2"/>
        <v>2027.7720000000002</v>
      </c>
      <c r="C97" s="8">
        <f>'январь факт'!C97+'февраль факт'!C97+'март фaкт'!C97</f>
        <v>0</v>
      </c>
      <c r="D97" s="8">
        <f>'январь факт'!D97+'февраль факт'!D97+'март фaкт'!D97</f>
        <v>0</v>
      </c>
      <c r="E97" s="8">
        <f>'январь факт'!E97+'февраль факт'!E97+'март фaкт'!E97</f>
        <v>1775.996</v>
      </c>
      <c r="F97" s="9">
        <f>'январь факт'!F97+'февраль факт'!F97+'март фaкт'!F97</f>
        <v>251.776</v>
      </c>
    </row>
    <row r="98" spans="1:6" ht="21" customHeight="1">
      <c r="A98" s="31" t="s">
        <v>23</v>
      </c>
      <c r="B98" s="5">
        <f t="shared" si="2"/>
        <v>2483.842</v>
      </c>
      <c r="C98" s="8">
        <f>'январь факт'!C98+'февраль факт'!C98+'март фaкт'!C98</f>
        <v>1594.206</v>
      </c>
      <c r="D98" s="8">
        <f>'январь факт'!D98+'февраль факт'!D98+'март фaкт'!D98</f>
        <v>0</v>
      </c>
      <c r="E98" s="8">
        <f>'январь факт'!E98+'февраль факт'!E98+'март фaкт'!E98</f>
        <v>439.75</v>
      </c>
      <c r="F98" s="9">
        <f>'январь факт'!F98+'февраль факт'!F98+'март фaкт'!F98</f>
        <v>449.886</v>
      </c>
    </row>
    <row r="99" spans="1:6" ht="21" customHeight="1" thickBot="1">
      <c r="A99" s="120" t="s">
        <v>24</v>
      </c>
      <c r="B99" s="5">
        <f t="shared" si="2"/>
        <v>2042.167</v>
      </c>
      <c r="C99" s="8">
        <f>'январь факт'!C99+'февраль факт'!C99+'март фaкт'!C99</f>
        <v>0</v>
      </c>
      <c r="D99" s="8">
        <f>'январь факт'!D99+'февраль факт'!D99+'март фaкт'!D99</f>
        <v>0</v>
      </c>
      <c r="E99" s="8">
        <f>'январь факт'!E99+'февраль факт'!E99+'март фaкт'!E99</f>
        <v>2042.167</v>
      </c>
      <c r="F99" s="9">
        <f>'январь факт'!F99+'февраль факт'!F99+'март фaкт'!F99</f>
        <v>0</v>
      </c>
    </row>
    <row r="100" spans="1:6" ht="21" customHeight="1" thickBot="1">
      <c r="A100" s="30" t="s">
        <v>66</v>
      </c>
      <c r="B100" s="50">
        <f>C100+D100+E100+F100</f>
        <v>416355.98</v>
      </c>
      <c r="C100" s="124">
        <f>C5+C10+C15+C20+C25+C30+C35+C40+C45+C50+C55+C60+C65+C70+C75+C80+C85+C90+C95+C96+C97+C98+C99</f>
        <v>172400.67500000002</v>
      </c>
      <c r="D100" s="124">
        <f>D5+D10+D15+D20+D25+D30+D35+D40+D45+D50+D55+D60+D65+D70+D75+D80+D85+D90+D95+D96+D97+D98+D99</f>
        <v>6860.998</v>
      </c>
      <c r="E100" s="124">
        <f>E5+E10+E15+E20+E25+E30+E35+E40+E45+E50+E55+E60+E65+E70+E75+E80+E85+E90+E95+E96+E97+E98+E99</f>
        <v>104342.626</v>
      </c>
      <c r="F100" s="51">
        <f>F5+F10+F15+F20+F25+F30+F35+F40+F45+F50+F55+F60+F65+F70+F75+F80+F85+F90+F95+F96+F97+F98+F99</f>
        <v>132751.681</v>
      </c>
    </row>
  </sheetData>
  <sheetProtection/>
  <mergeCells count="2">
    <mergeCell ref="A1:F1"/>
    <mergeCell ref="A2:F2"/>
  </mergeCells>
  <printOptions horizontalCentered="1"/>
  <pageMargins left="0.03937007874015748" right="0.03937007874015748" top="0.3937007874015748" bottom="0.03937007874015748" header="0.5118110236220472" footer="0.5118110236220472"/>
  <pageSetup fitToHeight="1" fitToWidth="1" horizontalDpi="600" verticalDpi="600" orientation="portrait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" sqref="J1:N16384"/>
    </sheetView>
  </sheetViews>
  <sheetFormatPr defaultColWidth="9.00390625" defaultRowHeight="12.75"/>
  <cols>
    <col min="1" max="1" width="62.75390625" style="0" customWidth="1"/>
    <col min="2" max="6" width="25.25390625" style="0" customWidth="1"/>
    <col min="7" max="7" width="11.75390625" style="0" customWidth="1"/>
    <col min="8" max="8" width="27.00390625" style="0" customWidth="1"/>
    <col min="9" max="9" width="25.125" style="0" customWidth="1"/>
    <col min="10" max="10" width="9.125" style="0" customWidth="1"/>
  </cols>
  <sheetData>
    <row r="1" spans="1:6" s="41" customFormat="1" ht="47.25" customHeight="1">
      <c r="A1" s="162" t="s">
        <v>32</v>
      </c>
      <c r="B1" s="162"/>
      <c r="C1" s="162"/>
      <c r="D1" s="162"/>
      <c r="E1" s="162"/>
      <c r="F1" s="162"/>
    </row>
    <row r="2" spans="1:6" s="42" customFormat="1" ht="23.25">
      <c r="A2" s="163" t="s">
        <v>43</v>
      </c>
      <c r="B2" s="163"/>
      <c r="C2" s="163"/>
      <c r="D2" s="164"/>
      <c r="E2" s="164"/>
      <c r="F2" s="164"/>
    </row>
    <row r="3" s="3" customFormat="1" ht="18.75" thickBot="1">
      <c r="F3" s="73" t="s">
        <v>31</v>
      </c>
    </row>
    <row r="4" spans="1:6" s="1" customFormat="1" ht="29.25" customHeight="1" thickBot="1">
      <c r="A4" s="43" t="s">
        <v>17</v>
      </c>
      <c r="B4" s="44"/>
      <c r="C4" s="45" t="s">
        <v>0</v>
      </c>
      <c r="D4" s="45" t="s">
        <v>1</v>
      </c>
      <c r="E4" s="45" t="s">
        <v>2</v>
      </c>
      <c r="F4" s="46" t="s">
        <v>3</v>
      </c>
    </row>
    <row r="5" spans="1:6" s="2" customFormat="1" ht="34.5" customHeight="1">
      <c r="A5" s="108" t="s">
        <v>57</v>
      </c>
      <c r="B5" s="128">
        <f>C5+D5+E5+F5</f>
        <v>79776.97200000001</v>
      </c>
      <c r="C5" s="139">
        <f>C6+C7</f>
        <v>34929.614</v>
      </c>
      <c r="D5" s="139">
        <f>D6+D7</f>
        <v>1141.105</v>
      </c>
      <c r="E5" s="139">
        <f>E6+E7</f>
        <v>19179.631</v>
      </c>
      <c r="F5" s="140">
        <f>F6+F7</f>
        <v>24526.622000000003</v>
      </c>
    </row>
    <row r="6" spans="1:13" s="2" customFormat="1" ht="27" customHeight="1">
      <c r="A6" s="109" t="s">
        <v>13</v>
      </c>
      <c r="B6" s="8">
        <f aca="true" t="shared" si="0" ref="B6:B69">C6+D6+E6+F6</f>
        <v>64418.343</v>
      </c>
      <c r="C6" s="8">
        <f>34900.953</f>
        <v>34900.953</v>
      </c>
      <c r="D6" s="8">
        <v>1139.875</v>
      </c>
      <c r="E6" s="8">
        <v>18440.131</v>
      </c>
      <c r="F6" s="9">
        <v>9937.384</v>
      </c>
      <c r="J6" s="8">
        <f>34900.953-J4</f>
        <v>34900.953</v>
      </c>
      <c r="K6" s="8">
        <v>1139.875</v>
      </c>
      <c r="L6" s="8">
        <v>18440.131</v>
      </c>
      <c r="M6" s="9">
        <v>9937.384</v>
      </c>
    </row>
    <row r="7" spans="1:13" s="2" customFormat="1" ht="20.25" customHeight="1">
      <c r="A7" s="109" t="s">
        <v>10</v>
      </c>
      <c r="B7" s="8">
        <f t="shared" si="0"/>
        <v>15358.629</v>
      </c>
      <c r="C7" s="8">
        <f>C8+C9</f>
        <v>28.661</v>
      </c>
      <c r="D7" s="20">
        <f>D8+D9</f>
        <v>1.23</v>
      </c>
      <c r="E7" s="20">
        <f>E8+E9</f>
        <v>739.5</v>
      </c>
      <c r="F7" s="21">
        <f>F8+F9</f>
        <v>14589.238000000001</v>
      </c>
      <c r="J7" s="166">
        <f>J8+J9</f>
        <v>28.661</v>
      </c>
      <c r="K7" s="167">
        <f>K8+K9</f>
        <v>1.23</v>
      </c>
      <c r="L7" s="167">
        <f>L8+L9</f>
        <v>739.5</v>
      </c>
      <c r="M7" s="168">
        <f>M8+M9</f>
        <v>14589.238000000001</v>
      </c>
    </row>
    <row r="8" spans="1:13" s="2" customFormat="1" ht="21.75" customHeight="1">
      <c r="A8" s="109" t="s">
        <v>11</v>
      </c>
      <c r="B8" s="8">
        <f t="shared" si="0"/>
        <v>4443.329000000001</v>
      </c>
      <c r="C8" s="93">
        <v>11.41</v>
      </c>
      <c r="D8" s="93"/>
      <c r="E8" s="93">
        <v>125.274</v>
      </c>
      <c r="F8" s="94">
        <v>4306.645</v>
      </c>
      <c r="J8" s="93">
        <v>11.41</v>
      </c>
      <c r="K8" s="93"/>
      <c r="L8" s="93">
        <v>125.274</v>
      </c>
      <c r="M8" s="94">
        <v>4306.645</v>
      </c>
    </row>
    <row r="9" spans="1:13" s="2" customFormat="1" ht="24.75" customHeight="1">
      <c r="A9" s="109" t="s">
        <v>12</v>
      </c>
      <c r="B9" s="8">
        <f t="shared" si="0"/>
        <v>10915.300000000001</v>
      </c>
      <c r="C9" s="93">
        <v>17.251</v>
      </c>
      <c r="D9" s="93">
        <v>1.23</v>
      </c>
      <c r="E9" s="93">
        <v>614.226</v>
      </c>
      <c r="F9" s="94">
        <v>10282.593</v>
      </c>
      <c r="J9" s="93">
        <v>17.251</v>
      </c>
      <c r="K9" s="93">
        <v>1.23</v>
      </c>
      <c r="L9" s="93">
        <v>614.226</v>
      </c>
      <c r="M9" s="94">
        <v>10282.593</v>
      </c>
    </row>
    <row r="10" spans="1:6" s="2" customFormat="1" ht="47.25" customHeight="1">
      <c r="A10" s="110" t="s">
        <v>58</v>
      </c>
      <c r="B10" s="8">
        <f t="shared" si="0"/>
        <v>5531.185</v>
      </c>
      <c r="C10" s="20">
        <f>C11+C12</f>
        <v>848.38</v>
      </c>
      <c r="D10" s="20"/>
      <c r="E10" s="20">
        <f>E11+E12</f>
        <v>1925.739</v>
      </c>
      <c r="F10" s="21">
        <f>F11+F12</f>
        <v>2757.0660000000003</v>
      </c>
    </row>
    <row r="11" spans="1:6" s="2" customFormat="1" ht="21.75" customHeight="1">
      <c r="A11" s="109" t="s">
        <v>13</v>
      </c>
      <c r="B11" s="8">
        <f t="shared" si="0"/>
        <v>3428.54</v>
      </c>
      <c r="C11" s="8">
        <v>764.515</v>
      </c>
      <c r="D11" s="8"/>
      <c r="E11" s="8">
        <v>1605.67</v>
      </c>
      <c r="F11" s="9">
        <v>1058.355</v>
      </c>
    </row>
    <row r="12" spans="1:6" s="2" customFormat="1" ht="19.5" customHeight="1">
      <c r="A12" s="109" t="s">
        <v>10</v>
      </c>
      <c r="B12" s="8">
        <f t="shared" si="0"/>
        <v>2102.6450000000004</v>
      </c>
      <c r="C12" s="20">
        <f>C13+C14</f>
        <v>83.865</v>
      </c>
      <c r="D12" s="8"/>
      <c r="E12" s="20">
        <f>E13+E14</f>
        <v>320.069</v>
      </c>
      <c r="F12" s="21">
        <f>F13+F14</f>
        <v>1698.7110000000002</v>
      </c>
    </row>
    <row r="13" spans="1:6" s="2" customFormat="1" ht="17.25" customHeight="1">
      <c r="A13" s="109" t="s">
        <v>11</v>
      </c>
      <c r="B13" s="8">
        <f t="shared" si="0"/>
        <v>1189.5430000000001</v>
      </c>
      <c r="C13" s="93"/>
      <c r="D13" s="93"/>
      <c r="E13" s="93">
        <v>53.95</v>
      </c>
      <c r="F13" s="94">
        <v>1135.593</v>
      </c>
    </row>
    <row r="14" spans="1:6" s="2" customFormat="1" ht="17.25" customHeight="1">
      <c r="A14" s="109" t="s">
        <v>12</v>
      </c>
      <c r="B14" s="8">
        <f t="shared" si="0"/>
        <v>913.1020000000001</v>
      </c>
      <c r="C14" s="93">
        <v>83.865</v>
      </c>
      <c r="D14" s="93"/>
      <c r="E14" s="93">
        <v>266.119</v>
      </c>
      <c r="F14" s="94">
        <v>563.118</v>
      </c>
    </row>
    <row r="15" spans="1:6" s="2" customFormat="1" ht="35.25" customHeight="1">
      <c r="A15" s="110" t="s">
        <v>6</v>
      </c>
      <c r="B15" s="8">
        <f t="shared" si="0"/>
        <v>1173.912</v>
      </c>
      <c r="C15" s="20">
        <f>C16+C17</f>
        <v>1173.912</v>
      </c>
      <c r="D15" s="8"/>
      <c r="E15" s="8"/>
      <c r="F15" s="9"/>
    </row>
    <row r="16" spans="1:6" s="2" customFormat="1" ht="19.5" customHeight="1">
      <c r="A16" s="109" t="s">
        <v>13</v>
      </c>
      <c r="B16" s="8">
        <f t="shared" si="0"/>
        <v>1173.76</v>
      </c>
      <c r="C16" s="8">
        <v>1173.76</v>
      </c>
      <c r="D16" s="8"/>
      <c r="E16" s="20"/>
      <c r="F16" s="21"/>
    </row>
    <row r="17" spans="1:6" s="2" customFormat="1" ht="18" customHeight="1">
      <c r="A17" s="109" t="s">
        <v>10</v>
      </c>
      <c r="B17" s="8">
        <f t="shared" si="0"/>
        <v>0.152</v>
      </c>
      <c r="C17" s="20">
        <f>C18+C19</f>
        <v>0.152</v>
      </c>
      <c r="D17" s="8"/>
      <c r="E17" s="20"/>
      <c r="F17" s="21"/>
    </row>
    <row r="18" spans="1:6" s="2" customFormat="1" ht="19.5" customHeight="1">
      <c r="A18" s="109" t="s">
        <v>11</v>
      </c>
      <c r="B18" s="8">
        <f t="shared" si="0"/>
        <v>0.152</v>
      </c>
      <c r="C18" s="93">
        <v>0.152</v>
      </c>
      <c r="D18" s="93"/>
      <c r="E18" s="93"/>
      <c r="F18" s="94"/>
    </row>
    <row r="19" spans="1:6" s="2" customFormat="1" ht="19.5" customHeight="1">
      <c r="A19" s="109" t="s">
        <v>12</v>
      </c>
      <c r="B19" s="8">
        <f t="shared" si="0"/>
        <v>0</v>
      </c>
      <c r="C19" s="93"/>
      <c r="D19" s="93"/>
      <c r="E19" s="93"/>
      <c r="F19" s="94"/>
    </row>
    <row r="20" spans="1:6" s="2" customFormat="1" ht="51" customHeight="1">
      <c r="A20" s="110" t="s">
        <v>59</v>
      </c>
      <c r="B20" s="8">
        <f t="shared" si="0"/>
        <v>494.196</v>
      </c>
      <c r="C20" s="20">
        <f>C21+C22</f>
        <v>8.331</v>
      </c>
      <c r="D20" s="20">
        <f>D21+D22</f>
        <v>411.488</v>
      </c>
      <c r="E20" s="20">
        <f>E21+E22</f>
        <v>0</v>
      </c>
      <c r="F20" s="21">
        <f>F21+F22</f>
        <v>74.377</v>
      </c>
    </row>
    <row r="21" spans="1:6" s="2" customFormat="1" ht="21.75" customHeight="1">
      <c r="A21" s="109" t="s">
        <v>13</v>
      </c>
      <c r="B21" s="8">
        <f t="shared" si="0"/>
        <v>476.31600000000003</v>
      </c>
      <c r="C21" s="136">
        <v>8.331</v>
      </c>
      <c r="D21" s="136">
        <v>411.488</v>
      </c>
      <c r="E21" s="136">
        <v>0</v>
      </c>
      <c r="F21" s="137">
        <v>56.497</v>
      </c>
    </row>
    <row r="22" spans="1:6" s="2" customFormat="1" ht="21" customHeight="1">
      <c r="A22" s="109" t="s">
        <v>10</v>
      </c>
      <c r="B22" s="8">
        <f t="shared" si="0"/>
        <v>17.88</v>
      </c>
      <c r="C22" s="8"/>
      <c r="D22" s="8"/>
      <c r="E22" s="20">
        <f>E23+E24</f>
        <v>0</v>
      </c>
      <c r="F22" s="21">
        <f>F23+F24</f>
        <v>17.88</v>
      </c>
    </row>
    <row r="23" spans="1:6" s="2" customFormat="1" ht="21.75" customHeight="1">
      <c r="A23" s="109" t="s">
        <v>11</v>
      </c>
      <c r="B23" s="8">
        <f t="shared" si="0"/>
        <v>17.88</v>
      </c>
      <c r="C23" s="93"/>
      <c r="D23" s="93"/>
      <c r="E23" s="93"/>
      <c r="F23" s="94">
        <v>17.88</v>
      </c>
    </row>
    <row r="24" spans="1:6" s="2" customFormat="1" ht="21" customHeight="1">
      <c r="A24" s="109" t="s">
        <v>12</v>
      </c>
      <c r="B24" s="8">
        <f t="shared" si="0"/>
        <v>0</v>
      </c>
      <c r="C24" s="93"/>
      <c r="D24" s="93"/>
      <c r="E24" s="93"/>
      <c r="F24" s="94"/>
    </row>
    <row r="25" spans="1:6" s="2" customFormat="1" ht="41.25" customHeight="1">
      <c r="A25" s="110" t="s">
        <v>7</v>
      </c>
      <c r="B25" s="8">
        <f t="shared" si="0"/>
        <v>12373.678</v>
      </c>
      <c r="C25" s="20">
        <f>C26+C27</f>
        <v>7166.184</v>
      </c>
      <c r="D25" s="20"/>
      <c r="E25" s="20">
        <f>E26+E27</f>
        <v>1839.566</v>
      </c>
      <c r="F25" s="21">
        <f>F26+F27</f>
        <v>3367.9280000000003</v>
      </c>
    </row>
    <row r="26" spans="1:6" s="2" customFormat="1" ht="19.5" customHeight="1">
      <c r="A26" s="109" t="s">
        <v>13</v>
      </c>
      <c r="B26" s="8">
        <f t="shared" si="0"/>
        <v>10059.293</v>
      </c>
      <c r="C26" s="8">
        <v>7166.184</v>
      </c>
      <c r="D26" s="8"/>
      <c r="E26" s="20">
        <v>1791.984</v>
      </c>
      <c r="F26" s="21">
        <v>1101.125</v>
      </c>
    </row>
    <row r="27" spans="1:6" s="2" customFormat="1" ht="24.75" customHeight="1">
      <c r="A27" s="109" t="s">
        <v>10</v>
      </c>
      <c r="B27" s="8">
        <f t="shared" si="0"/>
        <v>2314.385</v>
      </c>
      <c r="C27" s="8"/>
      <c r="D27" s="8"/>
      <c r="E27" s="20">
        <f>E28+E29</f>
        <v>47.582</v>
      </c>
      <c r="F27" s="21">
        <f>F28+F29</f>
        <v>2266.8030000000003</v>
      </c>
    </row>
    <row r="28" spans="1:6" s="2" customFormat="1" ht="25.5" customHeight="1">
      <c r="A28" s="109" t="s">
        <v>11</v>
      </c>
      <c r="B28" s="8">
        <f t="shared" si="0"/>
        <v>2285.0170000000003</v>
      </c>
      <c r="C28" s="93"/>
      <c r="D28" s="93"/>
      <c r="E28" s="93">
        <v>47.582</v>
      </c>
      <c r="F28" s="94">
        <f>2154.367+83.068</f>
        <v>2237.4350000000004</v>
      </c>
    </row>
    <row r="29" spans="1:6" s="2" customFormat="1" ht="20.25" customHeight="1">
      <c r="A29" s="109" t="s">
        <v>12</v>
      </c>
      <c r="B29" s="8">
        <f t="shared" si="0"/>
        <v>29.368</v>
      </c>
      <c r="C29" s="93"/>
      <c r="D29" s="93"/>
      <c r="E29" s="93"/>
      <c r="F29" s="94">
        <v>29.368</v>
      </c>
    </row>
    <row r="30" spans="1:6" s="2" customFormat="1" ht="50.25" customHeight="1">
      <c r="A30" s="110" t="s">
        <v>60</v>
      </c>
      <c r="B30" s="8">
        <f t="shared" si="0"/>
        <v>109.004</v>
      </c>
      <c r="C30" s="20"/>
      <c r="D30" s="20"/>
      <c r="E30" s="20">
        <f>E31+E32</f>
        <v>70.959</v>
      </c>
      <c r="F30" s="21">
        <f>F31+F32</f>
        <v>38.045</v>
      </c>
    </row>
    <row r="31" spans="1:6" s="2" customFormat="1" ht="22.5" customHeight="1">
      <c r="A31" s="109" t="s">
        <v>13</v>
      </c>
      <c r="B31" s="8">
        <f t="shared" si="0"/>
        <v>83.24300000000001</v>
      </c>
      <c r="C31" s="8"/>
      <c r="D31" s="8"/>
      <c r="E31" s="20">
        <v>70.959</v>
      </c>
      <c r="F31" s="21">
        <v>12.284</v>
      </c>
    </row>
    <row r="32" spans="1:6" s="2" customFormat="1" ht="24.75" customHeight="1">
      <c r="A32" s="109" t="s">
        <v>10</v>
      </c>
      <c r="B32" s="8">
        <f t="shared" si="0"/>
        <v>25.761</v>
      </c>
      <c r="C32" s="8"/>
      <c r="D32" s="8"/>
      <c r="E32" s="20">
        <f>E33+E34</f>
        <v>0</v>
      </c>
      <c r="F32" s="21">
        <f>F33+F34</f>
        <v>25.761</v>
      </c>
    </row>
    <row r="33" spans="1:6" s="2" customFormat="1" ht="18" customHeight="1">
      <c r="A33" s="109" t="s">
        <v>11</v>
      </c>
      <c r="B33" s="8">
        <f t="shared" si="0"/>
        <v>21.322</v>
      </c>
      <c r="C33" s="93"/>
      <c r="D33" s="93"/>
      <c r="E33" s="93"/>
      <c r="F33" s="94">
        <v>21.322</v>
      </c>
    </row>
    <row r="34" spans="1:6" s="2" customFormat="1" ht="18" customHeight="1">
      <c r="A34" s="109" t="s">
        <v>12</v>
      </c>
      <c r="B34" s="8">
        <f t="shared" si="0"/>
        <v>4.439</v>
      </c>
      <c r="C34" s="93"/>
      <c r="D34" s="93"/>
      <c r="E34" s="93"/>
      <c r="F34" s="94">
        <v>4.439</v>
      </c>
    </row>
    <row r="35" spans="1:6" s="2" customFormat="1" ht="25.5" customHeight="1">
      <c r="A35" s="49" t="s">
        <v>61</v>
      </c>
      <c r="B35" s="8">
        <f t="shared" si="0"/>
        <v>151.327</v>
      </c>
      <c r="C35" s="20">
        <f>C36+C37</f>
        <v>0</v>
      </c>
      <c r="D35" s="95"/>
      <c r="E35" s="20">
        <f>E36+E37</f>
        <v>0</v>
      </c>
      <c r="F35" s="21">
        <f>F36+F37</f>
        <v>151.327</v>
      </c>
    </row>
    <row r="36" spans="1:6" s="2" customFormat="1" ht="23.25" customHeight="1">
      <c r="A36" s="109" t="s">
        <v>13</v>
      </c>
      <c r="B36" s="8">
        <f t="shared" si="0"/>
        <v>138.471</v>
      </c>
      <c r="C36" s="8"/>
      <c r="D36" s="8"/>
      <c r="E36" s="8"/>
      <c r="F36" s="9">
        <v>138.471</v>
      </c>
    </row>
    <row r="37" spans="1:6" s="2" customFormat="1" ht="23.25" customHeight="1">
      <c r="A37" s="109" t="s">
        <v>10</v>
      </c>
      <c r="B37" s="8">
        <f t="shared" si="0"/>
        <v>12.856</v>
      </c>
      <c r="C37" s="20">
        <f>C38+C39</f>
        <v>0</v>
      </c>
      <c r="D37" s="8"/>
      <c r="E37" s="20">
        <f>E38+E39</f>
        <v>0</v>
      </c>
      <c r="F37" s="21">
        <f>F38+F39</f>
        <v>12.856</v>
      </c>
    </row>
    <row r="38" spans="1:6" s="2" customFormat="1" ht="23.25" customHeight="1">
      <c r="A38" s="109" t="s">
        <v>11</v>
      </c>
      <c r="B38" s="8">
        <f t="shared" si="0"/>
        <v>0</v>
      </c>
      <c r="C38" s="95"/>
      <c r="D38" s="95"/>
      <c r="E38" s="95"/>
      <c r="F38" s="12"/>
    </row>
    <row r="39" spans="1:6" s="2" customFormat="1" ht="23.25" customHeight="1">
      <c r="A39" s="109" t="s">
        <v>12</v>
      </c>
      <c r="B39" s="8">
        <f t="shared" si="0"/>
        <v>12.856</v>
      </c>
      <c r="C39" s="95"/>
      <c r="D39" s="95"/>
      <c r="E39" s="95"/>
      <c r="F39" s="12">
        <v>12.856</v>
      </c>
    </row>
    <row r="40" spans="1:6" s="2" customFormat="1" ht="42" customHeight="1">
      <c r="A40" s="110" t="s">
        <v>26</v>
      </c>
      <c r="B40" s="8">
        <f t="shared" si="0"/>
        <v>59.528999999999996</v>
      </c>
      <c r="C40" s="95">
        <f>C41+C42</f>
        <v>0.763</v>
      </c>
      <c r="D40" s="95"/>
      <c r="E40" s="95">
        <f>E41+E42</f>
        <v>58.766</v>
      </c>
      <c r="F40" s="21"/>
    </row>
    <row r="41" spans="1:6" s="2" customFormat="1" ht="19.5" customHeight="1">
      <c r="A41" s="109" t="s">
        <v>13</v>
      </c>
      <c r="B41" s="8">
        <f t="shared" si="0"/>
        <v>59.528999999999996</v>
      </c>
      <c r="C41" s="8">
        <v>0.763</v>
      </c>
      <c r="D41" s="8"/>
      <c r="E41" s="8">
        <v>58.766</v>
      </c>
      <c r="F41" s="9"/>
    </row>
    <row r="42" spans="1:6" s="2" customFormat="1" ht="19.5" customHeight="1">
      <c r="A42" s="109" t="s">
        <v>10</v>
      </c>
      <c r="B42" s="8">
        <f t="shared" si="0"/>
        <v>0</v>
      </c>
      <c r="C42" s="8"/>
      <c r="D42" s="8"/>
      <c r="E42" s="20">
        <f>E43+E44</f>
        <v>0</v>
      </c>
      <c r="F42" s="21">
        <f>F43+F44</f>
        <v>0</v>
      </c>
    </row>
    <row r="43" spans="1:6" s="2" customFormat="1" ht="19.5" customHeight="1">
      <c r="A43" s="109" t="s">
        <v>11</v>
      </c>
      <c r="B43" s="8">
        <f t="shared" si="0"/>
        <v>0</v>
      </c>
      <c r="C43" s="95"/>
      <c r="D43" s="95"/>
      <c r="E43" s="95"/>
      <c r="F43" s="12"/>
    </row>
    <row r="44" spans="1:6" s="2" customFormat="1" ht="19.5" customHeight="1">
      <c r="A44" s="109" t="s">
        <v>12</v>
      </c>
      <c r="B44" s="8">
        <f t="shared" si="0"/>
        <v>0</v>
      </c>
      <c r="C44" s="95"/>
      <c r="D44" s="95"/>
      <c r="E44" s="95"/>
      <c r="F44" s="12"/>
    </row>
    <row r="45" spans="1:6" s="2" customFormat="1" ht="24.75" customHeight="1">
      <c r="A45" s="111" t="s">
        <v>29</v>
      </c>
      <c r="B45" s="8">
        <f t="shared" si="0"/>
        <v>363.954</v>
      </c>
      <c r="C45" s="10"/>
      <c r="D45" s="8"/>
      <c r="E45" s="8">
        <f>E46+E47</f>
        <v>291.851</v>
      </c>
      <c r="F45" s="9">
        <f>F46+F47</f>
        <v>72.103</v>
      </c>
    </row>
    <row r="46" spans="1:6" s="2" customFormat="1" ht="24.75" customHeight="1">
      <c r="A46" s="109" t="s">
        <v>13</v>
      </c>
      <c r="B46" s="8">
        <f t="shared" si="0"/>
        <v>363.954</v>
      </c>
      <c r="C46" s="8"/>
      <c r="D46" s="8"/>
      <c r="E46" s="20">
        <v>291.851</v>
      </c>
      <c r="F46" s="21">
        <v>72.103</v>
      </c>
    </row>
    <row r="47" spans="1:6" s="2" customFormat="1" ht="24.75" customHeight="1">
      <c r="A47" s="109" t="s">
        <v>10</v>
      </c>
      <c r="B47" s="8">
        <f t="shared" si="0"/>
        <v>0</v>
      </c>
      <c r="C47" s="8"/>
      <c r="D47" s="8"/>
      <c r="E47" s="20">
        <f>E48+E49</f>
        <v>0</v>
      </c>
      <c r="F47" s="21">
        <f>F48+F49</f>
        <v>0</v>
      </c>
    </row>
    <row r="48" spans="1:6" s="2" customFormat="1" ht="24.75" customHeight="1">
      <c r="A48" s="109" t="s">
        <v>11</v>
      </c>
      <c r="B48" s="8">
        <f t="shared" si="0"/>
        <v>0</v>
      </c>
      <c r="C48" s="10"/>
      <c r="D48" s="8"/>
      <c r="E48" s="10"/>
      <c r="F48" s="17"/>
    </row>
    <row r="49" spans="1:6" s="2" customFormat="1" ht="24.75" customHeight="1">
      <c r="A49" s="109" t="s">
        <v>12</v>
      </c>
      <c r="B49" s="8">
        <f t="shared" si="0"/>
        <v>0</v>
      </c>
      <c r="C49" s="10"/>
      <c r="D49" s="8"/>
      <c r="E49" s="10"/>
      <c r="F49" s="17"/>
    </row>
    <row r="50" spans="1:6" s="2" customFormat="1" ht="24.75" customHeight="1">
      <c r="A50" s="111" t="s">
        <v>4</v>
      </c>
      <c r="B50" s="8">
        <f t="shared" si="0"/>
        <v>725.719</v>
      </c>
      <c r="C50" s="20">
        <f>C51+C52</f>
        <v>725.719</v>
      </c>
      <c r="D50" s="8"/>
      <c r="E50" s="8"/>
      <c r="F50" s="9"/>
    </row>
    <row r="51" spans="1:6" s="2" customFormat="1" ht="24.75" customHeight="1">
      <c r="A51" s="109" t="s">
        <v>13</v>
      </c>
      <c r="B51" s="8">
        <f t="shared" si="0"/>
        <v>725.719</v>
      </c>
      <c r="C51" s="20">
        <v>725.719</v>
      </c>
      <c r="D51" s="8"/>
      <c r="E51" s="20">
        <f>E50-E52</f>
        <v>0</v>
      </c>
      <c r="F51" s="21">
        <f>F50-F52</f>
        <v>0</v>
      </c>
    </row>
    <row r="52" spans="1:6" s="2" customFormat="1" ht="24.75" customHeight="1">
      <c r="A52" s="109" t="s">
        <v>10</v>
      </c>
      <c r="B52" s="8">
        <f t="shared" si="0"/>
        <v>0</v>
      </c>
      <c r="C52" s="20">
        <f>C53+C54</f>
        <v>0</v>
      </c>
      <c r="D52" s="8"/>
      <c r="E52" s="20">
        <f>E53+E54</f>
        <v>0</v>
      </c>
      <c r="F52" s="21">
        <f>F53+F54</f>
        <v>0</v>
      </c>
    </row>
    <row r="53" spans="1:6" s="2" customFormat="1" ht="24.75" customHeight="1">
      <c r="A53" s="109" t="s">
        <v>11</v>
      </c>
      <c r="B53" s="8">
        <f t="shared" si="0"/>
        <v>0</v>
      </c>
      <c r="C53" s="93"/>
      <c r="D53" s="8"/>
      <c r="E53" s="8"/>
      <c r="F53" s="9"/>
    </row>
    <row r="54" spans="1:9" s="2" customFormat="1" ht="24.75" customHeight="1">
      <c r="A54" s="109" t="s">
        <v>12</v>
      </c>
      <c r="B54" s="8">
        <f t="shared" si="0"/>
        <v>0</v>
      </c>
      <c r="C54" s="93"/>
      <c r="D54" s="8"/>
      <c r="E54" s="8"/>
      <c r="F54" s="9"/>
      <c r="G54" s="70"/>
      <c r="H54" s="68"/>
      <c r="I54" s="68"/>
    </row>
    <row r="55" spans="1:6" s="2" customFormat="1" ht="50.25" customHeight="1">
      <c r="A55" s="110" t="s">
        <v>62</v>
      </c>
      <c r="B55" s="8">
        <f t="shared" si="0"/>
        <v>818.75</v>
      </c>
      <c r="C55" s="20">
        <f>C56+C57</f>
        <v>0</v>
      </c>
      <c r="D55" s="20">
        <f>D56+D57</f>
        <v>0</v>
      </c>
      <c r="E55" s="20">
        <f>E56+E57</f>
        <v>367.236</v>
      </c>
      <c r="F55" s="21">
        <f>F56+F57</f>
        <v>451.514</v>
      </c>
    </row>
    <row r="56" spans="1:6" s="2" customFormat="1" ht="26.25" customHeight="1">
      <c r="A56" s="109" t="s">
        <v>13</v>
      </c>
      <c r="B56" s="8">
        <f t="shared" si="0"/>
        <v>482.82</v>
      </c>
      <c r="C56" s="20"/>
      <c r="D56" s="20"/>
      <c r="E56" s="20">
        <v>367.236</v>
      </c>
      <c r="F56" s="21">
        <v>115.584</v>
      </c>
    </row>
    <row r="57" spans="1:6" s="2" customFormat="1" ht="26.25" customHeight="1">
      <c r="A57" s="109" t="s">
        <v>10</v>
      </c>
      <c r="B57" s="8">
        <f t="shared" si="0"/>
        <v>335.93</v>
      </c>
      <c r="C57" s="20">
        <f>C58+C59</f>
        <v>0</v>
      </c>
      <c r="D57" s="20">
        <f>D58+D59</f>
        <v>0</v>
      </c>
      <c r="E57" s="20">
        <f>E58+E59</f>
        <v>0</v>
      </c>
      <c r="F57" s="21">
        <f>F58+F59</f>
        <v>335.93</v>
      </c>
    </row>
    <row r="58" spans="1:6" s="2" customFormat="1" ht="26.25" customHeight="1">
      <c r="A58" s="109" t="s">
        <v>11</v>
      </c>
      <c r="B58" s="8">
        <f t="shared" si="0"/>
        <v>290.204</v>
      </c>
      <c r="C58" s="93"/>
      <c r="D58" s="8"/>
      <c r="E58" s="8"/>
      <c r="F58" s="9">
        <v>290.204</v>
      </c>
    </row>
    <row r="59" spans="1:6" s="2" customFormat="1" ht="26.25" customHeight="1">
      <c r="A59" s="109" t="s">
        <v>12</v>
      </c>
      <c r="B59" s="8">
        <f t="shared" si="0"/>
        <v>45.726</v>
      </c>
      <c r="C59" s="93"/>
      <c r="D59" s="8"/>
      <c r="E59" s="8"/>
      <c r="F59" s="9">
        <v>45.726</v>
      </c>
    </row>
    <row r="60" spans="1:6" s="2" customFormat="1" ht="24.75" customHeight="1">
      <c r="A60" s="110" t="s">
        <v>28</v>
      </c>
      <c r="B60" s="8">
        <f t="shared" si="0"/>
        <v>1845.08</v>
      </c>
      <c r="C60" s="8">
        <f>C61+C62</f>
        <v>1833.28</v>
      </c>
      <c r="D60" s="8"/>
      <c r="E60" s="8">
        <f>E61+E62</f>
        <v>0</v>
      </c>
      <c r="F60" s="9">
        <f>F61+F62</f>
        <v>11.8</v>
      </c>
    </row>
    <row r="61" spans="1:6" s="2" customFormat="1" ht="21.75" customHeight="1">
      <c r="A61" s="109" t="s">
        <v>13</v>
      </c>
      <c r="B61" s="8">
        <f t="shared" si="0"/>
        <v>1845.08</v>
      </c>
      <c r="C61" s="20">
        <v>1833.28</v>
      </c>
      <c r="D61" s="20"/>
      <c r="E61" s="20"/>
      <c r="F61" s="21">
        <v>11.8</v>
      </c>
    </row>
    <row r="62" spans="1:6" s="2" customFormat="1" ht="16.5" customHeight="1">
      <c r="A62" s="109" t="s">
        <v>10</v>
      </c>
      <c r="B62" s="8">
        <f t="shared" si="0"/>
        <v>0</v>
      </c>
      <c r="C62" s="93"/>
      <c r="D62" s="8"/>
      <c r="E62" s="8">
        <f>E64+E63</f>
        <v>0</v>
      </c>
      <c r="F62" s="9">
        <f>F64+F63</f>
        <v>0</v>
      </c>
    </row>
    <row r="63" spans="1:6" s="2" customFormat="1" ht="18" customHeight="1">
      <c r="A63" s="109" t="s">
        <v>11</v>
      </c>
      <c r="B63" s="8">
        <f t="shared" si="0"/>
        <v>0</v>
      </c>
      <c r="C63" s="93"/>
      <c r="D63" s="8"/>
      <c r="E63" s="10"/>
      <c r="F63" s="17"/>
    </row>
    <row r="64" spans="1:6" s="2" customFormat="1" ht="18" customHeight="1">
      <c r="A64" s="109" t="s">
        <v>12</v>
      </c>
      <c r="B64" s="8">
        <f t="shared" si="0"/>
        <v>0</v>
      </c>
      <c r="C64" s="93"/>
      <c r="D64" s="8"/>
      <c r="E64" s="10"/>
      <c r="F64" s="17"/>
    </row>
    <row r="65" spans="1:6" s="2" customFormat="1" ht="24.75" customHeight="1">
      <c r="A65" s="110" t="s">
        <v>63</v>
      </c>
      <c r="B65" s="8">
        <f t="shared" si="0"/>
        <v>0</v>
      </c>
      <c r="C65" s="8">
        <f>C66+C67</f>
        <v>0</v>
      </c>
      <c r="D65" s="8"/>
      <c r="E65" s="8">
        <f>E66+E67</f>
        <v>0</v>
      </c>
      <c r="F65" s="9">
        <f>F66+F67</f>
        <v>0</v>
      </c>
    </row>
    <row r="66" spans="1:6" s="2" customFormat="1" ht="21.75" customHeight="1">
      <c r="A66" s="109" t="s">
        <v>13</v>
      </c>
      <c r="B66" s="8">
        <f t="shared" si="0"/>
        <v>0</v>
      </c>
      <c r="C66" s="113"/>
      <c r="D66" s="113"/>
      <c r="E66" s="113"/>
      <c r="F66" s="114"/>
    </row>
    <row r="67" spans="1:6" s="2" customFormat="1" ht="18" customHeight="1">
      <c r="A67" s="109" t="s">
        <v>10</v>
      </c>
      <c r="B67" s="8">
        <f t="shared" si="0"/>
        <v>0</v>
      </c>
      <c r="C67" s="93"/>
      <c r="D67" s="8"/>
      <c r="E67" s="8">
        <f>E69+E68</f>
        <v>0</v>
      </c>
      <c r="F67" s="9">
        <f>F69+F68</f>
        <v>0</v>
      </c>
    </row>
    <row r="68" spans="1:6" s="2" customFormat="1" ht="19.5" customHeight="1">
      <c r="A68" s="109" t="s">
        <v>11</v>
      </c>
      <c r="B68" s="8">
        <f t="shared" si="0"/>
        <v>0</v>
      </c>
      <c r="C68" s="93"/>
      <c r="D68" s="8"/>
      <c r="E68" s="10"/>
      <c r="F68" s="17"/>
    </row>
    <row r="69" spans="1:6" s="2" customFormat="1" ht="19.5" customHeight="1">
      <c r="A69" s="109" t="s">
        <v>12</v>
      </c>
      <c r="B69" s="8">
        <f t="shared" si="0"/>
        <v>0</v>
      </c>
      <c r="C69" s="93"/>
      <c r="D69" s="8"/>
      <c r="E69" s="10"/>
      <c r="F69" s="17"/>
    </row>
    <row r="70" spans="1:6" s="3" customFormat="1" ht="27.75" customHeight="1">
      <c r="A70" s="110" t="s">
        <v>25</v>
      </c>
      <c r="B70" s="8">
        <f aca="true" t="shared" si="1" ref="B70:B94">C70+D70+E70+F70</f>
        <v>65.459</v>
      </c>
      <c r="C70" s="93"/>
      <c r="D70" s="8"/>
      <c r="E70" s="8">
        <f>E71+E72</f>
        <v>0</v>
      </c>
      <c r="F70" s="9">
        <f>F71+F72</f>
        <v>65.459</v>
      </c>
    </row>
    <row r="71" spans="1:6" s="3" customFormat="1" ht="27.75" customHeight="1">
      <c r="A71" s="109" t="s">
        <v>13</v>
      </c>
      <c r="B71" s="8">
        <f t="shared" si="1"/>
        <v>11.626</v>
      </c>
      <c r="C71" s="93"/>
      <c r="D71" s="8"/>
      <c r="E71" s="8"/>
      <c r="F71" s="115">
        <v>11.626</v>
      </c>
    </row>
    <row r="72" spans="1:6" s="3" customFormat="1" ht="27.75" customHeight="1">
      <c r="A72" s="109" t="s">
        <v>10</v>
      </c>
      <c r="B72" s="8">
        <f t="shared" si="1"/>
        <v>53.833</v>
      </c>
      <c r="C72" s="93"/>
      <c r="D72" s="8"/>
      <c r="E72" s="8">
        <f>E74+E73</f>
        <v>0</v>
      </c>
      <c r="F72" s="9">
        <f>F74+F73</f>
        <v>53.833</v>
      </c>
    </row>
    <row r="73" spans="1:6" s="3" customFormat="1" ht="27.75" customHeight="1">
      <c r="A73" s="109" t="s">
        <v>11</v>
      </c>
      <c r="B73" s="8">
        <f t="shared" si="1"/>
        <v>53.833</v>
      </c>
      <c r="C73" s="93"/>
      <c r="D73" s="8"/>
      <c r="E73" s="10"/>
      <c r="F73" s="17">
        <v>53.833</v>
      </c>
    </row>
    <row r="74" spans="1:6" s="3" customFormat="1" ht="27.75" customHeight="1">
      <c r="A74" s="109" t="s">
        <v>12</v>
      </c>
      <c r="B74" s="8">
        <f t="shared" si="1"/>
        <v>0</v>
      </c>
      <c r="C74" s="93"/>
      <c r="D74" s="8"/>
      <c r="E74" s="10"/>
      <c r="F74" s="17"/>
    </row>
    <row r="75" spans="1:6" s="3" customFormat="1" ht="27.75" customHeight="1">
      <c r="A75" s="110" t="s">
        <v>64</v>
      </c>
      <c r="B75" s="8">
        <f t="shared" si="1"/>
        <v>231.526</v>
      </c>
      <c r="C75" s="93"/>
      <c r="D75" s="8"/>
      <c r="E75" s="8">
        <f>E76+E77</f>
        <v>13.973</v>
      </c>
      <c r="F75" s="9">
        <f>F76+F77</f>
        <v>217.553</v>
      </c>
    </row>
    <row r="76" spans="1:6" s="3" customFormat="1" ht="37.5" customHeight="1">
      <c r="A76" s="109" t="s">
        <v>13</v>
      </c>
      <c r="B76" s="8">
        <f t="shared" si="1"/>
        <v>61.095</v>
      </c>
      <c r="C76" s="93"/>
      <c r="D76" s="8"/>
      <c r="E76" s="138">
        <v>13.973</v>
      </c>
      <c r="F76" s="115">
        <v>47.122</v>
      </c>
    </row>
    <row r="77" spans="1:6" s="3" customFormat="1" ht="18.75">
      <c r="A77" s="109" t="s">
        <v>10</v>
      </c>
      <c r="B77" s="8">
        <f t="shared" si="1"/>
        <v>170.431</v>
      </c>
      <c r="C77" s="93"/>
      <c r="D77" s="8"/>
      <c r="E77" s="8">
        <f>E79+E78</f>
        <v>0</v>
      </c>
      <c r="F77" s="9">
        <f>F79+F78</f>
        <v>170.431</v>
      </c>
    </row>
    <row r="78" spans="1:6" s="6" customFormat="1" ht="25.5" customHeight="1">
      <c r="A78" s="109" t="s">
        <v>11</v>
      </c>
      <c r="B78" s="8">
        <f t="shared" si="1"/>
        <v>0</v>
      </c>
      <c r="C78" s="93"/>
      <c r="D78" s="8"/>
      <c r="E78" s="8"/>
      <c r="F78" s="9"/>
    </row>
    <row r="79" spans="1:6" ht="18.75">
      <c r="A79" s="109" t="s">
        <v>12</v>
      </c>
      <c r="B79" s="8">
        <f t="shared" si="1"/>
        <v>170.431</v>
      </c>
      <c r="C79" s="93"/>
      <c r="D79" s="8"/>
      <c r="E79" s="8"/>
      <c r="F79" s="9">
        <v>170.431</v>
      </c>
    </row>
    <row r="80" spans="1:6" ht="18">
      <c r="A80" s="110" t="s">
        <v>8</v>
      </c>
      <c r="B80" s="8">
        <f t="shared" si="1"/>
        <v>1016.779</v>
      </c>
      <c r="C80" s="20"/>
      <c r="D80" s="8"/>
      <c r="E80" s="20">
        <f>E81+E82</f>
        <v>492.375</v>
      </c>
      <c r="F80" s="21">
        <f>F81+F82</f>
        <v>524.404</v>
      </c>
    </row>
    <row r="81" spans="1:6" ht="18.75">
      <c r="A81" s="109" t="s">
        <v>13</v>
      </c>
      <c r="B81" s="8">
        <f t="shared" si="1"/>
        <v>487.413</v>
      </c>
      <c r="C81" s="8"/>
      <c r="D81" s="8"/>
      <c r="E81" s="20">
        <v>359.962</v>
      </c>
      <c r="F81" s="21">
        <v>127.451</v>
      </c>
    </row>
    <row r="82" spans="1:6" ht="18.75">
      <c r="A82" s="109" t="s">
        <v>10</v>
      </c>
      <c r="B82" s="8">
        <f t="shared" si="1"/>
        <v>529.366</v>
      </c>
      <c r="C82" s="8"/>
      <c r="D82" s="8"/>
      <c r="E82" s="20">
        <f>E83+E84</f>
        <v>132.413</v>
      </c>
      <c r="F82" s="21">
        <f>F83+F84</f>
        <v>396.953</v>
      </c>
    </row>
    <row r="83" spans="1:6" ht="18.75">
      <c r="A83" s="109" t="s">
        <v>11</v>
      </c>
      <c r="B83" s="8">
        <f t="shared" si="1"/>
        <v>432.033</v>
      </c>
      <c r="C83" s="8"/>
      <c r="D83" s="8"/>
      <c r="E83" s="93">
        <v>130.792</v>
      </c>
      <c r="F83" s="94">
        <f>282.961+18.28</f>
        <v>301.241</v>
      </c>
    </row>
    <row r="84" spans="1:6" ht="18.75">
      <c r="A84" s="109" t="s">
        <v>12</v>
      </c>
      <c r="B84" s="8">
        <f t="shared" si="1"/>
        <v>97.333</v>
      </c>
      <c r="C84" s="8"/>
      <c r="D84" s="8"/>
      <c r="E84" s="93">
        <v>1.621</v>
      </c>
      <c r="F84" s="94">
        <v>95.712</v>
      </c>
    </row>
    <row r="85" spans="1:6" ht="18">
      <c r="A85" s="110" t="s">
        <v>5</v>
      </c>
      <c r="B85" s="8">
        <f t="shared" si="1"/>
        <v>2765.384</v>
      </c>
      <c r="C85" s="20">
        <f>C86+C87</f>
        <v>387.451</v>
      </c>
      <c r="D85" s="8"/>
      <c r="E85" s="20">
        <f>E86+E87</f>
        <v>1441.376</v>
      </c>
      <c r="F85" s="21">
        <f>F86+F87</f>
        <v>936.557</v>
      </c>
    </row>
    <row r="86" spans="1:6" ht="18.75">
      <c r="A86" s="109" t="s">
        <v>13</v>
      </c>
      <c r="B86" s="8">
        <f t="shared" si="1"/>
        <v>1670.312</v>
      </c>
      <c r="C86" s="20">
        <v>387.451</v>
      </c>
      <c r="D86" s="8"/>
      <c r="E86" s="20">
        <v>885.597</v>
      </c>
      <c r="F86" s="21">
        <v>397.264</v>
      </c>
    </row>
    <row r="87" spans="1:6" ht="18.75">
      <c r="A87" s="109" t="s">
        <v>10</v>
      </c>
      <c r="B87" s="8">
        <f t="shared" si="1"/>
        <v>1095.0720000000001</v>
      </c>
      <c r="C87" s="8"/>
      <c r="D87" s="8"/>
      <c r="E87" s="20">
        <f>E88+E89</f>
        <v>555.779</v>
      </c>
      <c r="F87" s="21">
        <f>F88+F89</f>
        <v>539.293</v>
      </c>
    </row>
    <row r="88" spans="1:6" ht="18.75">
      <c r="A88" s="109" t="s">
        <v>11</v>
      </c>
      <c r="B88" s="8">
        <f t="shared" si="1"/>
        <v>1090.0320000000002</v>
      </c>
      <c r="C88" s="93"/>
      <c r="D88" s="93"/>
      <c r="E88" s="93">
        <f>526.373+24.366</f>
        <v>550.739</v>
      </c>
      <c r="F88" s="94">
        <f>468.292+71.001</f>
        <v>539.293</v>
      </c>
    </row>
    <row r="89" spans="1:6" ht="18.75">
      <c r="A89" s="109" t="s">
        <v>12</v>
      </c>
      <c r="B89" s="8">
        <f t="shared" si="1"/>
        <v>5.04</v>
      </c>
      <c r="C89" s="93"/>
      <c r="D89" s="93"/>
      <c r="E89" s="93">
        <v>5.04</v>
      </c>
      <c r="F89" s="94"/>
    </row>
    <row r="90" spans="1:6" ht="36">
      <c r="A90" s="110" t="s">
        <v>65</v>
      </c>
      <c r="B90" s="8">
        <f t="shared" si="1"/>
        <v>5854.389</v>
      </c>
      <c r="C90" s="20"/>
      <c r="D90" s="8"/>
      <c r="E90" s="20">
        <f>E91+E92</f>
        <v>1386.522</v>
      </c>
      <c r="F90" s="21">
        <f>F91+F92</f>
        <v>4467.867</v>
      </c>
    </row>
    <row r="91" spans="1:6" ht="18.75">
      <c r="A91" s="109" t="s">
        <v>13</v>
      </c>
      <c r="B91" s="8">
        <f t="shared" si="1"/>
        <v>2787.764</v>
      </c>
      <c r="C91" s="8"/>
      <c r="D91" s="8"/>
      <c r="E91" s="20">
        <v>1327.86</v>
      </c>
      <c r="F91" s="21">
        <v>1459.904</v>
      </c>
    </row>
    <row r="92" spans="1:6" ht="18.75">
      <c r="A92" s="109" t="s">
        <v>10</v>
      </c>
      <c r="B92" s="8">
        <f t="shared" si="1"/>
        <v>3066.6249999999995</v>
      </c>
      <c r="C92" s="8"/>
      <c r="D92" s="8"/>
      <c r="E92" s="20">
        <f>E93+E94</f>
        <v>58.662000000000006</v>
      </c>
      <c r="F92" s="21">
        <f>F93+F94</f>
        <v>3007.9629999999997</v>
      </c>
    </row>
    <row r="93" spans="1:6" ht="18.75">
      <c r="A93" s="109" t="s">
        <v>11</v>
      </c>
      <c r="B93" s="8">
        <f t="shared" si="1"/>
        <v>814.6840000000001</v>
      </c>
      <c r="C93" s="10"/>
      <c r="D93" s="8"/>
      <c r="E93" s="93">
        <v>16.142</v>
      </c>
      <c r="F93" s="94">
        <v>798.542</v>
      </c>
    </row>
    <row r="94" spans="1:6" ht="19.5" thickBot="1">
      <c r="A94" s="116" t="s">
        <v>12</v>
      </c>
      <c r="B94" s="22">
        <f t="shared" si="1"/>
        <v>2251.941</v>
      </c>
      <c r="C94" s="24"/>
      <c r="D94" s="22"/>
      <c r="E94" s="126">
        <v>42.52</v>
      </c>
      <c r="F94" s="127">
        <v>2209.421</v>
      </c>
    </row>
    <row r="95" spans="1:6" ht="18">
      <c r="A95" s="54" t="s">
        <v>21</v>
      </c>
      <c r="B95" s="55">
        <f aca="true" t="shared" si="2" ref="B95:B100">C95+D95+E95+F95</f>
        <v>209.721</v>
      </c>
      <c r="C95" s="134"/>
      <c r="D95" s="134"/>
      <c r="E95" s="134">
        <v>209.721</v>
      </c>
      <c r="F95" s="135"/>
    </row>
    <row r="96" spans="1:6" ht="18">
      <c r="A96" s="31" t="s">
        <v>22</v>
      </c>
      <c r="B96" s="5">
        <f t="shared" si="2"/>
        <v>54.087</v>
      </c>
      <c r="C96" s="11"/>
      <c r="D96" s="11"/>
      <c r="E96" s="11">
        <v>54.087</v>
      </c>
      <c r="F96" s="12"/>
    </row>
    <row r="97" spans="1:6" ht="18">
      <c r="A97" s="31" t="s">
        <v>27</v>
      </c>
      <c r="B97" s="5">
        <f t="shared" si="2"/>
        <v>601.751</v>
      </c>
      <c r="C97" s="11"/>
      <c r="D97" s="11"/>
      <c r="E97" s="132">
        <v>538.473</v>
      </c>
      <c r="F97" s="133">
        <v>63.278</v>
      </c>
    </row>
    <row r="98" spans="1:6" ht="18">
      <c r="A98" s="31" t="s">
        <v>23</v>
      </c>
      <c r="B98" s="5">
        <f t="shared" si="2"/>
        <v>749.645</v>
      </c>
      <c r="C98" s="11">
        <v>516.576</v>
      </c>
      <c r="D98" s="132"/>
      <c r="E98" s="132">
        <v>102.692</v>
      </c>
      <c r="F98" s="133">
        <v>130.377</v>
      </c>
    </row>
    <row r="99" spans="1:6" ht="18.75" thickBot="1">
      <c r="A99" s="120" t="s">
        <v>24</v>
      </c>
      <c r="B99" s="121">
        <f t="shared" si="2"/>
        <v>497.699</v>
      </c>
      <c r="C99" s="99"/>
      <c r="D99" s="99"/>
      <c r="E99" s="99">
        <v>497.699</v>
      </c>
      <c r="F99" s="100"/>
    </row>
    <row r="100" spans="1:6" ht="18.75" thickBot="1">
      <c r="A100" s="30" t="s">
        <v>66</v>
      </c>
      <c r="B100" s="50">
        <f t="shared" si="2"/>
        <v>115469.74599999998</v>
      </c>
      <c r="C100" s="124">
        <f>C5+C10+C15+C20+C25+C30+C35+C40+C45+C50+C55+C60+C65+C70+C75+C80+C85+C90+C95+C96+C97+C98+C99</f>
        <v>47590.20999999999</v>
      </c>
      <c r="D100" s="124">
        <f>D5+D10+D15+D20+D25+D30+D35+D40+D45+D50+D55+D60+D65+D70+D75+D80+D85+D90+D95+D96+D97+D98+D99</f>
        <v>1552.593</v>
      </c>
      <c r="E100" s="124">
        <f>E5+E10+E15+E20+E25+E30+E35+E40+E45+E50+E55+E60+E65+E70+E75+E80+E85+E90+E95+E96+E97+E98+E99</f>
        <v>28470.666</v>
      </c>
      <c r="F100" s="51">
        <f>F5+F10+F15+F20+F25+F30+F35+F40+F45+F50+F55+F60+F65+F70+F75+F80+F85+F90+F95+F96+F97+F98+F99</f>
        <v>37856.276999999995</v>
      </c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zoomScale="60" zoomScaleNormal="60" zoomScalePageLayoutView="0" workbookViewId="0" topLeftCell="A1">
      <pane xSplit="1" ySplit="4" topLeftCell="B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7" sqref="C7"/>
    </sheetView>
  </sheetViews>
  <sheetFormatPr defaultColWidth="9.00390625" defaultRowHeight="12.75"/>
  <cols>
    <col min="1" max="1" width="56.25390625" style="0" customWidth="1"/>
    <col min="2" max="2" width="27.00390625" style="3" customWidth="1"/>
    <col min="3" max="6" width="25.25390625" style="3" customWidth="1"/>
  </cols>
  <sheetData>
    <row r="1" spans="1:6" s="41" customFormat="1" ht="47.25" customHeight="1">
      <c r="A1" s="162" t="s">
        <v>32</v>
      </c>
      <c r="B1" s="162"/>
      <c r="C1" s="162"/>
      <c r="D1" s="162"/>
      <c r="E1" s="162"/>
      <c r="F1" s="162"/>
    </row>
    <row r="2" spans="1:6" s="42" customFormat="1" ht="23.25">
      <c r="A2" s="163" t="s">
        <v>44</v>
      </c>
      <c r="B2" s="163"/>
      <c r="C2" s="163"/>
      <c r="D2" s="164"/>
      <c r="E2" s="164"/>
      <c r="F2" s="164"/>
    </row>
    <row r="3" s="3" customFormat="1" ht="18.75" thickBot="1">
      <c r="F3" s="73" t="s">
        <v>31</v>
      </c>
    </row>
    <row r="4" spans="1:6" s="1" customFormat="1" ht="29.25" customHeight="1" thickBot="1">
      <c r="A4" s="43" t="s">
        <v>18</v>
      </c>
      <c r="B4" s="44"/>
      <c r="C4" s="45" t="s">
        <v>0</v>
      </c>
      <c r="D4" s="45" t="s">
        <v>1</v>
      </c>
      <c r="E4" s="45" t="s">
        <v>2</v>
      </c>
      <c r="F4" s="46" t="s">
        <v>3</v>
      </c>
    </row>
    <row r="5" spans="1:6" s="2" customFormat="1" ht="45.75" customHeight="1">
      <c r="A5" s="108" t="s">
        <v>57</v>
      </c>
      <c r="B5" s="128">
        <f>C5+D5+E5+F5</f>
        <v>71272.55799999999</v>
      </c>
      <c r="C5" s="139">
        <f>C6+C7</f>
        <v>31729.369000000002</v>
      </c>
      <c r="D5" s="139">
        <f>D6+D7</f>
        <v>944.725</v>
      </c>
      <c r="E5" s="139">
        <f>E6+E7</f>
        <v>16109.917</v>
      </c>
      <c r="F5" s="140">
        <f>F6+F7</f>
        <v>22488.547</v>
      </c>
    </row>
    <row r="6" spans="1:6" s="2" customFormat="1" ht="27" customHeight="1">
      <c r="A6" s="109" t="s">
        <v>13</v>
      </c>
      <c r="B6" s="8">
        <f aca="true" t="shared" si="0" ref="B6:B69">C6+D6+E6+F6</f>
        <v>56161.779</v>
      </c>
      <c r="C6" s="8">
        <f>31690.916</f>
        <v>31690.916</v>
      </c>
      <c r="D6" s="8">
        <v>943.615</v>
      </c>
      <c r="E6" s="8">
        <v>15474.197</v>
      </c>
      <c r="F6" s="9">
        <v>8053.051</v>
      </c>
    </row>
    <row r="7" spans="1:6" s="2" customFormat="1" ht="20.25" customHeight="1">
      <c r="A7" s="109" t="s">
        <v>10</v>
      </c>
      <c r="B7" s="8">
        <f t="shared" si="0"/>
        <v>15110.778999999999</v>
      </c>
      <c r="C7" s="8">
        <f>C8+C9</f>
        <v>38.452999999999996</v>
      </c>
      <c r="D7" s="20">
        <f>D8+D9</f>
        <v>1.11</v>
      </c>
      <c r="E7" s="20">
        <f>E8+E9</f>
        <v>635.72</v>
      </c>
      <c r="F7" s="21">
        <f>F8+F9</f>
        <v>14435.496</v>
      </c>
    </row>
    <row r="8" spans="1:6" s="2" customFormat="1" ht="21.75" customHeight="1">
      <c r="A8" s="109" t="s">
        <v>11</v>
      </c>
      <c r="B8" s="8">
        <f t="shared" si="0"/>
        <v>4120.998</v>
      </c>
      <c r="C8" s="93">
        <f>14.181</f>
        <v>14.181</v>
      </c>
      <c r="D8" s="93"/>
      <c r="E8" s="93">
        <v>108.215</v>
      </c>
      <c r="F8" s="94">
        <v>3998.602</v>
      </c>
    </row>
    <row r="9" spans="1:6" s="2" customFormat="1" ht="24.75" customHeight="1">
      <c r="A9" s="109" t="s">
        <v>12</v>
      </c>
      <c r="B9" s="8">
        <f t="shared" si="0"/>
        <v>10989.781</v>
      </c>
      <c r="C9" s="93">
        <v>24.272</v>
      </c>
      <c r="D9" s="93">
        <v>1.11</v>
      </c>
      <c r="E9" s="93">
        <v>527.505</v>
      </c>
      <c r="F9" s="94">
        <v>10436.894</v>
      </c>
    </row>
    <row r="10" spans="1:6" s="2" customFormat="1" ht="34.5" customHeight="1">
      <c r="A10" s="110" t="s">
        <v>58</v>
      </c>
      <c r="B10" s="8">
        <f t="shared" si="0"/>
        <v>4855.599</v>
      </c>
      <c r="C10" s="20">
        <f>C11+C12</f>
        <v>624.1700000000001</v>
      </c>
      <c r="D10" s="20"/>
      <c r="E10" s="20">
        <f>E11+E12</f>
        <v>1607.707</v>
      </c>
      <c r="F10" s="21">
        <f>F11+F12</f>
        <v>2623.7219999999998</v>
      </c>
    </row>
    <row r="11" spans="1:6" s="2" customFormat="1" ht="21.75" customHeight="1">
      <c r="A11" s="109" t="s">
        <v>13</v>
      </c>
      <c r="B11" s="8">
        <f t="shared" si="0"/>
        <v>2884.695</v>
      </c>
      <c r="C11" s="8">
        <v>549.642</v>
      </c>
      <c r="D11" s="8"/>
      <c r="E11" s="8">
        <v>1347.516</v>
      </c>
      <c r="F11" s="9">
        <v>987.537</v>
      </c>
    </row>
    <row r="12" spans="1:6" s="2" customFormat="1" ht="19.5" customHeight="1">
      <c r="A12" s="109" t="s">
        <v>10</v>
      </c>
      <c r="B12" s="8">
        <f t="shared" si="0"/>
        <v>1970.904</v>
      </c>
      <c r="C12" s="20">
        <f>C13+C14</f>
        <v>74.528</v>
      </c>
      <c r="D12" s="8"/>
      <c r="E12" s="20">
        <f>E13+E14</f>
        <v>260.191</v>
      </c>
      <c r="F12" s="21">
        <f>F13+F14</f>
        <v>1636.185</v>
      </c>
    </row>
    <row r="13" spans="1:6" s="2" customFormat="1" ht="17.25" customHeight="1">
      <c r="A13" s="109" t="s">
        <v>11</v>
      </c>
      <c r="B13" s="8">
        <f t="shared" si="0"/>
        <v>1164.856</v>
      </c>
      <c r="C13" s="93"/>
      <c r="D13" s="93"/>
      <c r="E13" s="93">
        <v>49.08</v>
      </c>
      <c r="F13" s="94">
        <v>1115.776</v>
      </c>
    </row>
    <row r="14" spans="1:6" s="2" customFormat="1" ht="17.25" customHeight="1">
      <c r="A14" s="109" t="s">
        <v>12</v>
      </c>
      <c r="B14" s="8">
        <f t="shared" si="0"/>
        <v>806.048</v>
      </c>
      <c r="C14" s="93">
        <v>74.528</v>
      </c>
      <c r="D14" s="93"/>
      <c r="E14" s="93">
        <v>211.111</v>
      </c>
      <c r="F14" s="94">
        <v>520.409</v>
      </c>
    </row>
    <row r="15" spans="1:6" s="2" customFormat="1" ht="35.25" customHeight="1">
      <c r="A15" s="110" t="s">
        <v>6</v>
      </c>
      <c r="B15" s="8">
        <f t="shared" si="0"/>
        <v>946.076</v>
      </c>
      <c r="C15" s="20">
        <f>C16+C17</f>
        <v>946.076</v>
      </c>
      <c r="D15" s="8"/>
      <c r="E15" s="8"/>
      <c r="F15" s="9"/>
    </row>
    <row r="16" spans="1:6" s="2" customFormat="1" ht="19.5" customHeight="1">
      <c r="A16" s="109" t="s">
        <v>13</v>
      </c>
      <c r="B16" s="8">
        <f t="shared" si="0"/>
        <v>945.86</v>
      </c>
      <c r="C16" s="8">
        <v>945.86</v>
      </c>
      <c r="D16" s="8"/>
      <c r="E16" s="20"/>
      <c r="F16" s="21"/>
    </row>
    <row r="17" spans="1:6" s="2" customFormat="1" ht="18" customHeight="1">
      <c r="A17" s="109" t="s">
        <v>10</v>
      </c>
      <c r="B17" s="8">
        <f t="shared" si="0"/>
        <v>0.216</v>
      </c>
      <c r="C17" s="20">
        <f>C18+C19</f>
        <v>0.216</v>
      </c>
      <c r="D17" s="8"/>
      <c r="E17" s="20"/>
      <c r="F17" s="21"/>
    </row>
    <row r="18" spans="1:6" s="2" customFormat="1" ht="19.5" customHeight="1">
      <c r="A18" s="109" t="s">
        <v>11</v>
      </c>
      <c r="B18" s="8">
        <f t="shared" si="0"/>
        <v>0.216</v>
      </c>
      <c r="C18" s="93">
        <v>0.216</v>
      </c>
      <c r="D18" s="93"/>
      <c r="E18" s="93"/>
      <c r="F18" s="94"/>
    </row>
    <row r="19" spans="1:6" s="2" customFormat="1" ht="19.5" customHeight="1">
      <c r="A19" s="109" t="s">
        <v>12</v>
      </c>
      <c r="B19" s="8">
        <f t="shared" si="0"/>
        <v>0</v>
      </c>
      <c r="C19" s="93"/>
      <c r="D19" s="93"/>
      <c r="E19" s="93"/>
      <c r="F19" s="94"/>
    </row>
    <row r="20" spans="1:6" s="2" customFormat="1" ht="36" customHeight="1">
      <c r="A20" s="110" t="s">
        <v>59</v>
      </c>
      <c r="B20" s="8">
        <f t="shared" si="0"/>
        <v>143.424</v>
      </c>
      <c r="C20" s="20">
        <f>C21+C22</f>
        <v>26.207</v>
      </c>
      <c r="D20" s="20">
        <f>D21+D22</f>
        <v>33.805</v>
      </c>
      <c r="E20" s="20">
        <f>E21+E22</f>
        <v>1.076</v>
      </c>
      <c r="F20" s="21">
        <f>F21+F22</f>
        <v>82.336</v>
      </c>
    </row>
    <row r="21" spans="1:6" s="2" customFormat="1" ht="21.75" customHeight="1">
      <c r="A21" s="109" t="s">
        <v>13</v>
      </c>
      <c r="B21" s="8">
        <f t="shared" si="0"/>
        <v>122.864</v>
      </c>
      <c r="C21" s="8">
        <v>26.207</v>
      </c>
      <c r="D21" s="8">
        <v>33.805</v>
      </c>
      <c r="E21" s="8">
        <v>1.076</v>
      </c>
      <c r="F21" s="9">
        <v>61.776</v>
      </c>
    </row>
    <row r="22" spans="1:6" s="2" customFormat="1" ht="21" customHeight="1">
      <c r="A22" s="109" t="s">
        <v>10</v>
      </c>
      <c r="B22" s="8">
        <f t="shared" si="0"/>
        <v>20.56</v>
      </c>
      <c r="C22" s="8"/>
      <c r="D22" s="8"/>
      <c r="E22" s="20">
        <f>E23+E24</f>
        <v>0</v>
      </c>
      <c r="F22" s="21">
        <f>F23+F24</f>
        <v>20.56</v>
      </c>
    </row>
    <row r="23" spans="1:6" s="2" customFormat="1" ht="21.75" customHeight="1">
      <c r="A23" s="109" t="s">
        <v>11</v>
      </c>
      <c r="B23" s="8">
        <f t="shared" si="0"/>
        <v>20.56</v>
      </c>
      <c r="C23" s="93"/>
      <c r="D23" s="93"/>
      <c r="E23" s="93"/>
      <c r="F23" s="94">
        <v>20.56</v>
      </c>
    </row>
    <row r="24" spans="1:6" s="2" customFormat="1" ht="21" customHeight="1">
      <c r="A24" s="109" t="s">
        <v>12</v>
      </c>
      <c r="B24" s="8">
        <f t="shared" si="0"/>
        <v>0</v>
      </c>
      <c r="C24" s="93"/>
      <c r="D24" s="93"/>
      <c r="E24" s="93"/>
      <c r="F24" s="94"/>
    </row>
    <row r="25" spans="1:6" s="2" customFormat="1" ht="41.25" customHeight="1">
      <c r="A25" s="110" t="s">
        <v>7</v>
      </c>
      <c r="B25" s="8">
        <f t="shared" si="0"/>
        <v>11621.636999999999</v>
      </c>
      <c r="C25" s="20">
        <f>C26+C27</f>
        <v>6906.58</v>
      </c>
      <c r="D25" s="20"/>
      <c r="E25" s="20">
        <f>E26+E27</f>
        <v>1645.295</v>
      </c>
      <c r="F25" s="21">
        <f>F26+F27</f>
        <v>3069.7619999999997</v>
      </c>
    </row>
    <row r="26" spans="1:6" s="2" customFormat="1" ht="19.5" customHeight="1">
      <c r="A26" s="109" t="s">
        <v>13</v>
      </c>
      <c r="B26" s="8">
        <f t="shared" si="0"/>
        <v>9438.401</v>
      </c>
      <c r="C26" s="8">
        <v>6906.58</v>
      </c>
      <c r="D26" s="8"/>
      <c r="E26" s="20">
        <v>1603.027</v>
      </c>
      <c r="F26" s="21">
        <v>928.794</v>
      </c>
    </row>
    <row r="27" spans="1:6" s="2" customFormat="1" ht="24.75" customHeight="1">
      <c r="A27" s="109" t="s">
        <v>10</v>
      </c>
      <c r="B27" s="8">
        <f t="shared" si="0"/>
        <v>2183.236</v>
      </c>
      <c r="C27" s="8"/>
      <c r="D27" s="8"/>
      <c r="E27" s="20">
        <f>E28+E29</f>
        <v>42.268</v>
      </c>
      <c r="F27" s="21">
        <f>F28+F29</f>
        <v>2140.968</v>
      </c>
    </row>
    <row r="28" spans="1:6" s="2" customFormat="1" ht="25.5" customHeight="1">
      <c r="A28" s="109" t="s">
        <v>11</v>
      </c>
      <c r="B28" s="8">
        <f t="shared" si="0"/>
        <v>2156.402</v>
      </c>
      <c r="C28" s="93"/>
      <c r="D28" s="93"/>
      <c r="E28" s="93">
        <v>42.268</v>
      </c>
      <c r="F28" s="94">
        <f>2044.674+69.46</f>
        <v>2114.134</v>
      </c>
    </row>
    <row r="29" spans="1:6" s="2" customFormat="1" ht="20.25" customHeight="1">
      <c r="A29" s="109" t="s">
        <v>12</v>
      </c>
      <c r="B29" s="8">
        <f t="shared" si="0"/>
        <v>26.834</v>
      </c>
      <c r="C29" s="93"/>
      <c r="D29" s="93"/>
      <c r="E29" s="93"/>
      <c r="F29" s="94">
        <v>26.834</v>
      </c>
    </row>
    <row r="30" spans="1:6" s="2" customFormat="1" ht="50.25" customHeight="1">
      <c r="A30" s="110" t="s">
        <v>60</v>
      </c>
      <c r="B30" s="8">
        <f t="shared" si="0"/>
        <v>103.716</v>
      </c>
      <c r="C30" s="20"/>
      <c r="D30" s="20"/>
      <c r="E30" s="20">
        <f>E31+E32</f>
        <v>67.109</v>
      </c>
      <c r="F30" s="21">
        <f>F31+F32</f>
        <v>36.607</v>
      </c>
    </row>
    <row r="31" spans="1:6" s="2" customFormat="1" ht="22.5" customHeight="1">
      <c r="A31" s="109" t="s">
        <v>13</v>
      </c>
      <c r="B31" s="8">
        <f t="shared" si="0"/>
        <v>79.603</v>
      </c>
      <c r="C31" s="8"/>
      <c r="D31" s="8"/>
      <c r="E31" s="20">
        <v>67.109</v>
      </c>
      <c r="F31" s="21">
        <v>12.494</v>
      </c>
    </row>
    <row r="32" spans="1:6" s="2" customFormat="1" ht="24.75" customHeight="1">
      <c r="A32" s="109" t="s">
        <v>10</v>
      </c>
      <c r="B32" s="8">
        <f t="shared" si="0"/>
        <v>24.113</v>
      </c>
      <c r="C32" s="8"/>
      <c r="D32" s="8"/>
      <c r="E32" s="20">
        <f>E33+E34</f>
        <v>0</v>
      </c>
      <c r="F32" s="21">
        <f>F33+F34</f>
        <v>24.113</v>
      </c>
    </row>
    <row r="33" spans="1:6" s="2" customFormat="1" ht="18" customHeight="1">
      <c r="A33" s="109" t="s">
        <v>11</v>
      </c>
      <c r="B33" s="8">
        <f t="shared" si="0"/>
        <v>19.73</v>
      </c>
      <c r="C33" s="93"/>
      <c r="D33" s="93"/>
      <c r="E33" s="93"/>
      <c r="F33" s="94">
        <v>19.73</v>
      </c>
    </row>
    <row r="34" spans="1:6" s="2" customFormat="1" ht="18" customHeight="1">
      <c r="A34" s="109" t="s">
        <v>12</v>
      </c>
      <c r="B34" s="8">
        <f t="shared" si="0"/>
        <v>4.383</v>
      </c>
      <c r="C34" s="93"/>
      <c r="D34" s="93"/>
      <c r="E34" s="93"/>
      <c r="F34" s="94">
        <v>4.383</v>
      </c>
    </row>
    <row r="35" spans="1:6" s="2" customFormat="1" ht="25.5" customHeight="1">
      <c r="A35" s="49" t="s">
        <v>61</v>
      </c>
      <c r="B35" s="8">
        <f t="shared" si="0"/>
        <v>75.401</v>
      </c>
      <c r="C35" s="20">
        <f>C36+C37</f>
        <v>0</v>
      </c>
      <c r="D35" s="95"/>
      <c r="E35" s="20">
        <f>E36+E37</f>
        <v>0</v>
      </c>
      <c r="F35" s="21">
        <f>F36+F37</f>
        <v>75.401</v>
      </c>
    </row>
    <row r="36" spans="1:6" s="2" customFormat="1" ht="23.25" customHeight="1">
      <c r="A36" s="109" t="s">
        <v>13</v>
      </c>
      <c r="B36" s="8">
        <f t="shared" si="0"/>
        <v>63.596</v>
      </c>
      <c r="C36" s="8"/>
      <c r="D36" s="8"/>
      <c r="E36" s="8"/>
      <c r="F36" s="9">
        <v>63.596</v>
      </c>
    </row>
    <row r="37" spans="1:6" s="2" customFormat="1" ht="23.25" customHeight="1">
      <c r="A37" s="109" t="s">
        <v>10</v>
      </c>
      <c r="B37" s="8">
        <f t="shared" si="0"/>
        <v>11.805</v>
      </c>
      <c r="C37" s="20">
        <f>C38+C39</f>
        <v>0</v>
      </c>
      <c r="D37" s="8"/>
      <c r="E37" s="20">
        <f>E38+E39</f>
        <v>0</v>
      </c>
      <c r="F37" s="21">
        <f>F38+F39</f>
        <v>11.805</v>
      </c>
    </row>
    <row r="38" spans="1:6" s="2" customFormat="1" ht="23.25" customHeight="1">
      <c r="A38" s="109" t="s">
        <v>11</v>
      </c>
      <c r="B38" s="8">
        <f t="shared" si="0"/>
        <v>0</v>
      </c>
      <c r="C38" s="95"/>
      <c r="D38" s="95"/>
      <c r="E38" s="95"/>
      <c r="F38" s="12"/>
    </row>
    <row r="39" spans="1:6" s="2" customFormat="1" ht="23.25" customHeight="1">
      <c r="A39" s="109" t="s">
        <v>12</v>
      </c>
      <c r="B39" s="8">
        <f t="shared" si="0"/>
        <v>11.805</v>
      </c>
      <c r="C39" s="95"/>
      <c r="D39" s="95"/>
      <c r="E39" s="95"/>
      <c r="F39" s="12">
        <v>11.805</v>
      </c>
    </row>
    <row r="40" spans="1:6" s="2" customFormat="1" ht="42" customHeight="1">
      <c r="A40" s="110" t="s">
        <v>26</v>
      </c>
      <c r="B40" s="8">
        <f t="shared" si="0"/>
        <v>60.224000000000004</v>
      </c>
      <c r="C40" s="20">
        <f>C41+C42</f>
        <v>0.734</v>
      </c>
      <c r="D40" s="95"/>
      <c r="E40" s="20">
        <f>E41+E42</f>
        <v>59.49</v>
      </c>
      <c r="F40" s="21"/>
    </row>
    <row r="41" spans="1:6" s="2" customFormat="1" ht="19.5" customHeight="1">
      <c r="A41" s="109" t="s">
        <v>13</v>
      </c>
      <c r="B41" s="8">
        <f t="shared" si="0"/>
        <v>60.224000000000004</v>
      </c>
      <c r="C41" s="8">
        <v>0.734</v>
      </c>
      <c r="D41" s="8"/>
      <c r="E41" s="8">
        <v>59.49</v>
      </c>
      <c r="F41" s="9"/>
    </row>
    <row r="42" spans="1:6" s="2" customFormat="1" ht="19.5" customHeight="1">
      <c r="A42" s="109" t="s">
        <v>10</v>
      </c>
      <c r="B42" s="8">
        <f t="shared" si="0"/>
        <v>0</v>
      </c>
      <c r="C42" s="8"/>
      <c r="D42" s="8"/>
      <c r="E42" s="20"/>
      <c r="F42" s="21"/>
    </row>
    <row r="43" spans="1:6" s="2" customFormat="1" ht="19.5" customHeight="1">
      <c r="A43" s="109" t="s">
        <v>11</v>
      </c>
      <c r="B43" s="8">
        <f t="shared" si="0"/>
        <v>0</v>
      </c>
      <c r="C43" s="95"/>
      <c r="D43" s="95"/>
      <c r="E43" s="95"/>
      <c r="F43" s="12"/>
    </row>
    <row r="44" spans="1:6" s="2" customFormat="1" ht="19.5" customHeight="1">
      <c r="A44" s="109" t="s">
        <v>12</v>
      </c>
      <c r="B44" s="8">
        <f t="shared" si="0"/>
        <v>0</v>
      </c>
      <c r="C44" s="95"/>
      <c r="D44" s="95"/>
      <c r="E44" s="95"/>
      <c r="F44" s="12"/>
    </row>
    <row r="45" spans="1:6" s="2" customFormat="1" ht="24.75" customHeight="1">
      <c r="A45" s="111" t="s">
        <v>29</v>
      </c>
      <c r="B45" s="8">
        <f t="shared" si="0"/>
        <v>377.115</v>
      </c>
      <c r="C45" s="10"/>
      <c r="D45" s="8"/>
      <c r="E45" s="8">
        <f>E46+E47</f>
        <v>300.078</v>
      </c>
      <c r="F45" s="9">
        <f>F46+F47</f>
        <v>77.037</v>
      </c>
    </row>
    <row r="46" spans="1:6" s="2" customFormat="1" ht="24.75" customHeight="1">
      <c r="A46" s="109" t="s">
        <v>13</v>
      </c>
      <c r="B46" s="8">
        <f t="shared" si="0"/>
        <v>377.115</v>
      </c>
      <c r="C46" s="8"/>
      <c r="D46" s="8"/>
      <c r="E46" s="20">
        <v>300.078</v>
      </c>
      <c r="F46" s="21">
        <v>77.037</v>
      </c>
    </row>
    <row r="47" spans="1:6" s="2" customFormat="1" ht="24.75" customHeight="1">
      <c r="A47" s="109" t="s">
        <v>10</v>
      </c>
      <c r="B47" s="8">
        <f t="shared" si="0"/>
        <v>0</v>
      </c>
      <c r="C47" s="8"/>
      <c r="D47" s="8"/>
      <c r="E47" s="20">
        <f>E48+E49</f>
        <v>0</v>
      </c>
      <c r="F47" s="21">
        <f>F48+F49</f>
        <v>0</v>
      </c>
    </row>
    <row r="48" spans="1:6" s="2" customFormat="1" ht="24.75" customHeight="1">
      <c r="A48" s="109" t="s">
        <v>11</v>
      </c>
      <c r="B48" s="8">
        <f t="shared" si="0"/>
        <v>0</v>
      </c>
      <c r="C48" s="10"/>
      <c r="D48" s="8"/>
      <c r="E48" s="10"/>
      <c r="F48" s="17"/>
    </row>
    <row r="49" spans="1:6" s="2" customFormat="1" ht="24.75" customHeight="1">
      <c r="A49" s="109" t="s">
        <v>12</v>
      </c>
      <c r="B49" s="8">
        <f t="shared" si="0"/>
        <v>0</v>
      </c>
      <c r="C49" s="10"/>
      <c r="D49" s="8"/>
      <c r="E49" s="10"/>
      <c r="F49" s="17"/>
    </row>
    <row r="50" spans="1:6" s="2" customFormat="1" ht="24.75" customHeight="1">
      <c r="A50" s="111" t="s">
        <v>4</v>
      </c>
      <c r="B50" s="8">
        <f t="shared" si="0"/>
        <v>671.257</v>
      </c>
      <c r="C50" s="20">
        <f>C51+C52</f>
        <v>671.257</v>
      </c>
      <c r="D50" s="8"/>
      <c r="E50" s="8"/>
      <c r="F50" s="9"/>
    </row>
    <row r="51" spans="1:6" s="2" customFormat="1" ht="24.75" customHeight="1">
      <c r="A51" s="109" t="s">
        <v>13</v>
      </c>
      <c r="B51" s="8">
        <f t="shared" si="0"/>
        <v>671.257</v>
      </c>
      <c r="C51" s="20">
        <v>671.257</v>
      </c>
      <c r="D51" s="8"/>
      <c r="E51" s="20"/>
      <c r="F51" s="21"/>
    </row>
    <row r="52" spans="1:6" s="2" customFormat="1" ht="24.75" customHeight="1">
      <c r="A52" s="109" t="s">
        <v>10</v>
      </c>
      <c r="B52" s="8">
        <f t="shared" si="0"/>
        <v>0</v>
      </c>
      <c r="C52" s="20">
        <f>C53+C54</f>
        <v>0</v>
      </c>
      <c r="D52" s="8"/>
      <c r="E52" s="20"/>
      <c r="F52" s="21"/>
    </row>
    <row r="53" spans="1:6" s="2" customFormat="1" ht="24.75" customHeight="1">
      <c r="A53" s="109" t="s">
        <v>11</v>
      </c>
      <c r="B53" s="8">
        <f t="shared" si="0"/>
        <v>0</v>
      </c>
      <c r="C53" s="93"/>
      <c r="D53" s="8"/>
      <c r="E53" s="8"/>
      <c r="F53" s="9"/>
    </row>
    <row r="54" spans="1:6" s="2" customFormat="1" ht="24.75" customHeight="1">
      <c r="A54" s="109" t="s">
        <v>12</v>
      </c>
      <c r="B54" s="8">
        <f t="shared" si="0"/>
        <v>0</v>
      </c>
      <c r="C54" s="93"/>
      <c r="D54" s="8"/>
      <c r="E54" s="8"/>
      <c r="F54" s="9"/>
    </row>
    <row r="55" spans="1:6" s="2" customFormat="1" ht="50.25" customHeight="1">
      <c r="A55" s="110" t="s">
        <v>62</v>
      </c>
      <c r="B55" s="8">
        <f t="shared" si="0"/>
        <v>636.306</v>
      </c>
      <c r="C55" s="20">
        <f>C56+C57</f>
        <v>0</v>
      </c>
      <c r="D55" s="20">
        <f>D56+D57</f>
        <v>0</v>
      </c>
      <c r="E55" s="20">
        <f>E56+E57</f>
        <v>239.045</v>
      </c>
      <c r="F55" s="21">
        <f>F56+F57</f>
        <v>397.261</v>
      </c>
    </row>
    <row r="56" spans="1:6" s="2" customFormat="1" ht="26.25" customHeight="1">
      <c r="A56" s="109" t="s">
        <v>13</v>
      </c>
      <c r="B56" s="8">
        <f t="shared" si="0"/>
        <v>342.12199999999996</v>
      </c>
      <c r="C56" s="20"/>
      <c r="D56" s="20"/>
      <c r="E56" s="20">
        <v>239.045</v>
      </c>
      <c r="F56" s="21">
        <v>103.077</v>
      </c>
    </row>
    <row r="57" spans="1:6" s="2" customFormat="1" ht="26.25" customHeight="1">
      <c r="A57" s="109" t="s">
        <v>10</v>
      </c>
      <c r="B57" s="8">
        <f t="shared" si="0"/>
        <v>294.184</v>
      </c>
      <c r="C57" s="20">
        <f>C58+C59</f>
        <v>0</v>
      </c>
      <c r="D57" s="20">
        <f>D58+D59</f>
        <v>0</v>
      </c>
      <c r="E57" s="20">
        <f>E58+E59</f>
        <v>0</v>
      </c>
      <c r="F57" s="21">
        <f>F58+F59</f>
        <v>294.184</v>
      </c>
    </row>
    <row r="58" spans="1:6" s="2" customFormat="1" ht="26.25" customHeight="1">
      <c r="A58" s="109" t="s">
        <v>11</v>
      </c>
      <c r="B58" s="8">
        <f t="shared" si="0"/>
        <v>255.431</v>
      </c>
      <c r="C58" s="93"/>
      <c r="D58" s="8"/>
      <c r="E58" s="8"/>
      <c r="F58" s="9">
        <v>255.431</v>
      </c>
    </row>
    <row r="59" spans="1:6" s="2" customFormat="1" ht="26.25" customHeight="1">
      <c r="A59" s="109" t="s">
        <v>12</v>
      </c>
      <c r="B59" s="8">
        <f t="shared" si="0"/>
        <v>38.753</v>
      </c>
      <c r="C59" s="93"/>
      <c r="D59" s="8"/>
      <c r="E59" s="8"/>
      <c r="F59" s="9">
        <v>38.753</v>
      </c>
    </row>
    <row r="60" spans="1:6" s="2" customFormat="1" ht="24.75" customHeight="1">
      <c r="A60" s="110" t="s">
        <v>28</v>
      </c>
      <c r="B60" s="8">
        <f t="shared" si="0"/>
        <v>1807.47</v>
      </c>
      <c r="C60" s="8">
        <f>C61+C62</f>
        <v>1799.67</v>
      </c>
      <c r="D60" s="8"/>
      <c r="E60" s="8"/>
      <c r="F60" s="9">
        <f>F61+F62</f>
        <v>7.8</v>
      </c>
    </row>
    <row r="61" spans="1:6" s="2" customFormat="1" ht="21.75" customHeight="1">
      <c r="A61" s="109" t="s">
        <v>13</v>
      </c>
      <c r="B61" s="8">
        <f t="shared" si="0"/>
        <v>1807.47</v>
      </c>
      <c r="C61" s="113">
        <v>1799.67</v>
      </c>
      <c r="D61" s="113"/>
      <c r="E61" s="113"/>
      <c r="F61" s="114">
        <v>7.8</v>
      </c>
    </row>
    <row r="62" spans="1:6" s="2" customFormat="1" ht="16.5" customHeight="1">
      <c r="A62" s="109" t="s">
        <v>10</v>
      </c>
      <c r="B62" s="8">
        <f t="shared" si="0"/>
        <v>0</v>
      </c>
      <c r="C62" s="93"/>
      <c r="D62" s="8"/>
      <c r="E62" s="8"/>
      <c r="F62" s="9">
        <f>F64+F63</f>
        <v>0</v>
      </c>
    </row>
    <row r="63" spans="1:6" s="2" customFormat="1" ht="18" customHeight="1">
      <c r="A63" s="109" t="s">
        <v>11</v>
      </c>
      <c r="B63" s="8">
        <f t="shared" si="0"/>
        <v>0</v>
      </c>
      <c r="C63" s="93"/>
      <c r="D63" s="8"/>
      <c r="E63" s="10"/>
      <c r="F63" s="17"/>
    </row>
    <row r="64" spans="1:6" s="2" customFormat="1" ht="18" customHeight="1">
      <c r="A64" s="109" t="s">
        <v>12</v>
      </c>
      <c r="B64" s="8">
        <f t="shared" si="0"/>
        <v>0</v>
      </c>
      <c r="C64" s="93"/>
      <c r="D64" s="8"/>
      <c r="E64" s="10"/>
      <c r="F64" s="17"/>
    </row>
    <row r="65" spans="1:6" s="2" customFormat="1" ht="24.75" customHeight="1">
      <c r="A65" s="110" t="s">
        <v>63</v>
      </c>
      <c r="B65" s="8">
        <f t="shared" si="0"/>
        <v>0</v>
      </c>
      <c r="C65" s="8">
        <f>C66+C67</f>
        <v>0</v>
      </c>
      <c r="D65" s="8"/>
      <c r="E65" s="8">
        <f>E66+E67</f>
        <v>0</v>
      </c>
      <c r="F65" s="9">
        <f>F66+F67</f>
        <v>0</v>
      </c>
    </row>
    <row r="66" spans="1:6" s="2" customFormat="1" ht="21.75" customHeight="1">
      <c r="A66" s="109" t="s">
        <v>13</v>
      </c>
      <c r="B66" s="8">
        <f t="shared" si="0"/>
        <v>0</v>
      </c>
      <c r="C66" s="113"/>
      <c r="D66" s="113"/>
      <c r="E66" s="113"/>
      <c r="F66" s="114"/>
    </row>
    <row r="67" spans="1:6" s="2" customFormat="1" ht="18" customHeight="1">
      <c r="A67" s="109" t="s">
        <v>10</v>
      </c>
      <c r="B67" s="8">
        <f t="shared" si="0"/>
        <v>0</v>
      </c>
      <c r="C67" s="93"/>
      <c r="D67" s="8"/>
      <c r="E67" s="8">
        <f>E69+E68</f>
        <v>0</v>
      </c>
      <c r="F67" s="9">
        <f>F69+F68</f>
        <v>0</v>
      </c>
    </row>
    <row r="68" spans="1:6" s="2" customFormat="1" ht="19.5" customHeight="1">
      <c r="A68" s="109" t="s">
        <v>11</v>
      </c>
      <c r="B68" s="8">
        <f t="shared" si="0"/>
        <v>0</v>
      </c>
      <c r="C68" s="93"/>
      <c r="D68" s="8"/>
      <c r="E68" s="10"/>
      <c r="F68" s="17"/>
    </row>
    <row r="69" spans="1:6" s="2" customFormat="1" ht="19.5" customHeight="1">
      <c r="A69" s="109" t="s">
        <v>12</v>
      </c>
      <c r="B69" s="8">
        <f t="shared" si="0"/>
        <v>0</v>
      </c>
      <c r="C69" s="93"/>
      <c r="D69" s="8"/>
      <c r="E69" s="10"/>
      <c r="F69" s="17"/>
    </row>
    <row r="70" spans="1:6" s="38" customFormat="1" ht="23.25" customHeight="1">
      <c r="A70" s="110" t="s">
        <v>25</v>
      </c>
      <c r="B70" s="8">
        <f aca="true" t="shared" si="1" ref="B70:B94">C70+D70+E70+F70</f>
        <v>55.735</v>
      </c>
      <c r="C70" s="93"/>
      <c r="D70" s="8"/>
      <c r="E70" s="8"/>
      <c r="F70" s="9">
        <f>F71+F72</f>
        <v>55.735</v>
      </c>
    </row>
    <row r="71" spans="1:6" s="38" customFormat="1" ht="23.25" customHeight="1">
      <c r="A71" s="109" t="s">
        <v>13</v>
      </c>
      <c r="B71" s="8">
        <f t="shared" si="1"/>
        <v>6.103</v>
      </c>
      <c r="C71" s="93"/>
      <c r="D71" s="8"/>
      <c r="E71" s="8"/>
      <c r="F71" s="115">
        <v>6.103</v>
      </c>
    </row>
    <row r="72" spans="1:6" s="38" customFormat="1" ht="23.25" customHeight="1">
      <c r="A72" s="109" t="s">
        <v>10</v>
      </c>
      <c r="B72" s="8">
        <f t="shared" si="1"/>
        <v>49.632</v>
      </c>
      <c r="C72" s="93"/>
      <c r="D72" s="8"/>
      <c r="E72" s="8"/>
      <c r="F72" s="9">
        <f>F74+F73</f>
        <v>49.632</v>
      </c>
    </row>
    <row r="73" spans="1:6" s="38" customFormat="1" ht="23.25" customHeight="1">
      <c r="A73" s="109" t="s">
        <v>11</v>
      </c>
      <c r="B73" s="8">
        <f t="shared" si="1"/>
        <v>49.632</v>
      </c>
      <c r="C73" s="93"/>
      <c r="D73" s="8"/>
      <c r="E73" s="10"/>
      <c r="F73" s="17">
        <v>49.632</v>
      </c>
    </row>
    <row r="74" spans="1:6" s="38" customFormat="1" ht="23.25" customHeight="1">
      <c r="A74" s="109" t="s">
        <v>12</v>
      </c>
      <c r="B74" s="8">
        <f t="shared" si="1"/>
        <v>0</v>
      </c>
      <c r="C74" s="93"/>
      <c r="D74" s="8"/>
      <c r="E74" s="10"/>
      <c r="F74" s="17"/>
    </row>
    <row r="75" spans="1:6" s="38" customFormat="1" ht="33" customHeight="1">
      <c r="A75" s="110" t="s">
        <v>64</v>
      </c>
      <c r="B75" s="8">
        <f t="shared" si="1"/>
        <v>230.979</v>
      </c>
      <c r="C75" s="93"/>
      <c r="D75" s="8"/>
      <c r="E75" s="8">
        <f>E76+E77</f>
        <v>15.756</v>
      </c>
      <c r="F75" s="9">
        <f>F76+F77</f>
        <v>215.223</v>
      </c>
    </row>
    <row r="76" spans="1:6" s="38" customFormat="1" ht="38.25" customHeight="1">
      <c r="A76" s="109" t="s">
        <v>13</v>
      </c>
      <c r="B76" s="8">
        <f t="shared" si="1"/>
        <v>66.525</v>
      </c>
      <c r="C76" s="93"/>
      <c r="D76" s="8"/>
      <c r="E76" s="138">
        <v>15.756</v>
      </c>
      <c r="F76" s="115">
        <v>50.769</v>
      </c>
    </row>
    <row r="77" spans="1:6" s="3" customFormat="1" ht="42" customHeight="1">
      <c r="A77" s="109" t="s">
        <v>10</v>
      </c>
      <c r="B77" s="8">
        <f t="shared" si="1"/>
        <v>164.454</v>
      </c>
      <c r="C77" s="93"/>
      <c r="D77" s="8"/>
      <c r="E77" s="8">
        <f>E79+E78</f>
        <v>0</v>
      </c>
      <c r="F77" s="9">
        <f>F79+F78</f>
        <v>164.454</v>
      </c>
    </row>
    <row r="78" spans="1:6" s="3" customFormat="1" ht="18.75">
      <c r="A78" s="109" t="s">
        <v>11</v>
      </c>
      <c r="B78" s="8">
        <f t="shared" si="1"/>
        <v>164.454</v>
      </c>
      <c r="C78" s="93"/>
      <c r="D78" s="8"/>
      <c r="E78" s="8"/>
      <c r="F78" s="9">
        <v>164.454</v>
      </c>
    </row>
    <row r="79" spans="1:6" s="3" customFormat="1" ht="18.75">
      <c r="A79" s="109" t="s">
        <v>12</v>
      </c>
      <c r="B79" s="8">
        <f t="shared" si="1"/>
        <v>0</v>
      </c>
      <c r="C79" s="93"/>
      <c r="D79" s="8"/>
      <c r="E79" s="8"/>
      <c r="F79" s="9"/>
    </row>
    <row r="80" spans="1:6" s="3" customFormat="1" ht="18">
      <c r="A80" s="110" t="s">
        <v>8</v>
      </c>
      <c r="B80" s="8">
        <f t="shared" si="1"/>
        <v>924.793</v>
      </c>
      <c r="C80" s="20">
        <f>C81+C82</f>
        <v>0</v>
      </c>
      <c r="D80" s="8"/>
      <c r="E80" s="20">
        <f>E81+E82</f>
        <v>474.303</v>
      </c>
      <c r="F80" s="21">
        <f>F81+F82</f>
        <v>450.49</v>
      </c>
    </row>
    <row r="81" spans="1:6" s="3" customFormat="1" ht="18.75">
      <c r="A81" s="109" t="s">
        <v>13</v>
      </c>
      <c r="B81" s="8">
        <f t="shared" si="1"/>
        <v>448.558</v>
      </c>
      <c r="C81" s="8"/>
      <c r="D81" s="8"/>
      <c r="E81" s="20">
        <v>363.152</v>
      </c>
      <c r="F81" s="21">
        <v>85.406</v>
      </c>
    </row>
    <row r="82" spans="1:6" s="3" customFormat="1" ht="18.75">
      <c r="A82" s="109" t="s">
        <v>10</v>
      </c>
      <c r="B82" s="8">
        <f t="shared" si="1"/>
        <v>476.235</v>
      </c>
      <c r="C82" s="8"/>
      <c r="D82" s="8"/>
      <c r="E82" s="20">
        <f>E83+E84</f>
        <v>111.151</v>
      </c>
      <c r="F82" s="21">
        <f>F83+F84</f>
        <v>365.084</v>
      </c>
    </row>
    <row r="83" spans="1:6" s="3" customFormat="1" ht="18.75">
      <c r="A83" s="109" t="s">
        <v>11</v>
      </c>
      <c r="B83" s="8">
        <f t="shared" si="1"/>
        <v>384.756</v>
      </c>
      <c r="C83" s="8"/>
      <c r="D83" s="8"/>
      <c r="E83" s="93">
        <v>109.506</v>
      </c>
      <c r="F83" s="94">
        <f>253.91+21.34</f>
        <v>275.25</v>
      </c>
    </row>
    <row r="84" spans="1:6" s="3" customFormat="1" ht="18.75">
      <c r="A84" s="109" t="s">
        <v>12</v>
      </c>
      <c r="B84" s="8">
        <f t="shared" si="1"/>
        <v>91.479</v>
      </c>
      <c r="C84" s="8"/>
      <c r="D84" s="8"/>
      <c r="E84" s="93">
        <v>1.645</v>
      </c>
      <c r="F84" s="94">
        <v>89.834</v>
      </c>
    </row>
    <row r="85" spans="1:6" s="3" customFormat="1" ht="18">
      <c r="A85" s="110" t="s">
        <v>5</v>
      </c>
      <c r="B85" s="8">
        <f t="shared" si="1"/>
        <v>2559.317</v>
      </c>
      <c r="C85" s="20">
        <f>C86+C87</f>
        <v>375.187</v>
      </c>
      <c r="D85" s="8"/>
      <c r="E85" s="20">
        <f>E86+E87</f>
        <v>1361.32</v>
      </c>
      <c r="F85" s="21">
        <f>F86+F87</f>
        <v>822.81</v>
      </c>
    </row>
    <row r="86" spans="1:6" s="3" customFormat="1" ht="18.75">
      <c r="A86" s="109" t="s">
        <v>13</v>
      </c>
      <c r="B86" s="8">
        <f t="shared" si="1"/>
        <v>1624.723</v>
      </c>
      <c r="C86" s="20">
        <v>375.187</v>
      </c>
      <c r="D86" s="8"/>
      <c r="E86" s="20">
        <v>887.617</v>
      </c>
      <c r="F86" s="21">
        <v>361.919</v>
      </c>
    </row>
    <row r="87" spans="1:6" s="3" customFormat="1" ht="18.75">
      <c r="A87" s="109" t="s">
        <v>10</v>
      </c>
      <c r="B87" s="8">
        <f t="shared" si="1"/>
        <v>934.594</v>
      </c>
      <c r="C87" s="8"/>
      <c r="D87" s="8"/>
      <c r="E87" s="20">
        <f>E88+E89</f>
        <v>473.70300000000003</v>
      </c>
      <c r="F87" s="21">
        <f>F88+F89</f>
        <v>460.891</v>
      </c>
    </row>
    <row r="88" spans="1:6" s="3" customFormat="1" ht="18.75">
      <c r="A88" s="109" t="s">
        <v>11</v>
      </c>
      <c r="B88" s="8">
        <f t="shared" si="1"/>
        <v>930.154</v>
      </c>
      <c r="C88" s="93"/>
      <c r="D88" s="93"/>
      <c r="E88" s="93">
        <f>443.521+25.742</f>
        <v>469.26300000000003</v>
      </c>
      <c r="F88" s="94">
        <f>401.243+59.648</f>
        <v>460.891</v>
      </c>
    </row>
    <row r="89" spans="1:6" s="3" customFormat="1" ht="18.75">
      <c r="A89" s="109" t="s">
        <v>12</v>
      </c>
      <c r="B89" s="8">
        <f t="shared" si="1"/>
        <v>4.44</v>
      </c>
      <c r="C89" s="93"/>
      <c r="D89" s="93"/>
      <c r="E89" s="93">
        <v>4.44</v>
      </c>
      <c r="F89" s="94"/>
    </row>
    <row r="90" spans="1:6" s="3" customFormat="1" ht="36">
      <c r="A90" s="110" t="s">
        <v>65</v>
      </c>
      <c r="B90" s="8">
        <f t="shared" si="1"/>
        <v>5312.185</v>
      </c>
      <c r="C90" s="20"/>
      <c r="D90" s="8"/>
      <c r="E90" s="20">
        <f>E91+E92</f>
        <v>1204.294</v>
      </c>
      <c r="F90" s="21">
        <f>F91+F92</f>
        <v>4107.8910000000005</v>
      </c>
    </row>
    <row r="91" spans="1:6" s="3" customFormat="1" ht="18.75">
      <c r="A91" s="109" t="s">
        <v>13</v>
      </c>
      <c r="B91" s="8">
        <f t="shared" si="1"/>
        <v>2498.312</v>
      </c>
      <c r="C91" s="8"/>
      <c r="D91" s="8"/>
      <c r="E91" s="20">
        <v>1166.315</v>
      </c>
      <c r="F91" s="21">
        <v>1331.997</v>
      </c>
    </row>
    <row r="92" spans="1:6" s="3" customFormat="1" ht="18.75">
      <c r="A92" s="109" t="s">
        <v>10</v>
      </c>
      <c r="B92" s="8">
        <f t="shared" si="1"/>
        <v>2813.873</v>
      </c>
      <c r="C92" s="8"/>
      <c r="D92" s="8"/>
      <c r="E92" s="20">
        <f>E93+E94</f>
        <v>37.979</v>
      </c>
      <c r="F92" s="21">
        <f>F93+F94</f>
        <v>2775.8940000000002</v>
      </c>
    </row>
    <row r="93" spans="1:6" s="3" customFormat="1" ht="18.75">
      <c r="A93" s="109" t="s">
        <v>11</v>
      </c>
      <c r="B93" s="8">
        <f t="shared" si="1"/>
        <v>683.6289999999999</v>
      </c>
      <c r="C93" s="10"/>
      <c r="D93" s="8"/>
      <c r="E93" s="93">
        <v>16.829</v>
      </c>
      <c r="F93" s="94">
        <v>666.8</v>
      </c>
    </row>
    <row r="94" spans="1:6" s="3" customFormat="1" ht="19.5" thickBot="1">
      <c r="A94" s="116" t="s">
        <v>12</v>
      </c>
      <c r="B94" s="22">
        <f t="shared" si="1"/>
        <v>2130.244</v>
      </c>
      <c r="C94" s="24"/>
      <c r="D94" s="22"/>
      <c r="E94" s="126">
        <v>21.15</v>
      </c>
      <c r="F94" s="127">
        <v>2109.094</v>
      </c>
    </row>
    <row r="95" spans="1:6" s="3" customFormat="1" ht="18">
      <c r="A95" s="54" t="s">
        <v>21</v>
      </c>
      <c r="B95" s="55">
        <f aca="true" t="shared" si="2" ref="B95:B100">C95+D95+E95+F95</f>
        <v>155.724</v>
      </c>
      <c r="C95" s="32"/>
      <c r="D95" s="32"/>
      <c r="E95" s="119">
        <v>155.724</v>
      </c>
      <c r="F95" s="33"/>
    </row>
    <row r="96" spans="1:6" s="3" customFormat="1" ht="18">
      <c r="A96" s="31" t="s">
        <v>22</v>
      </c>
      <c r="B96" s="5">
        <f t="shared" si="2"/>
        <v>41.578</v>
      </c>
      <c r="C96" s="8"/>
      <c r="D96" s="8"/>
      <c r="E96" s="93">
        <v>41.578</v>
      </c>
      <c r="F96" s="9"/>
    </row>
    <row r="97" spans="1:6" s="3" customFormat="1" ht="18">
      <c r="A97" s="31" t="s">
        <v>27</v>
      </c>
      <c r="B97" s="5">
        <f t="shared" si="2"/>
        <v>562.268</v>
      </c>
      <c r="C97" s="8"/>
      <c r="D97" s="8"/>
      <c r="E97" s="93">
        <v>499.008</v>
      </c>
      <c r="F97" s="94">
        <v>63.26</v>
      </c>
    </row>
    <row r="98" spans="1:6" s="3" customFormat="1" ht="18">
      <c r="A98" s="31" t="s">
        <v>23</v>
      </c>
      <c r="B98" s="5">
        <f t="shared" si="2"/>
        <v>692.3199999999999</v>
      </c>
      <c r="C98" s="10">
        <v>494.7</v>
      </c>
      <c r="D98" s="10"/>
      <c r="E98" s="10">
        <v>86.658</v>
      </c>
      <c r="F98" s="17">
        <v>110.962</v>
      </c>
    </row>
    <row r="99" spans="1:6" s="3" customFormat="1" ht="36.75" thickBot="1">
      <c r="A99" s="120" t="s">
        <v>24</v>
      </c>
      <c r="B99" s="121">
        <f t="shared" si="2"/>
        <v>425.715</v>
      </c>
      <c r="C99" s="141"/>
      <c r="D99" s="141"/>
      <c r="E99" s="141">
        <v>425.715</v>
      </c>
      <c r="F99" s="142"/>
    </row>
    <row r="100" spans="1:6" s="3" customFormat="1" ht="18.75" thickBot="1">
      <c r="A100" s="30" t="s">
        <v>66</v>
      </c>
      <c r="B100" s="50">
        <f t="shared" si="2"/>
        <v>103531.397</v>
      </c>
      <c r="C100" s="124">
        <f>C5+C10+C15+C20+C25+C30+C35+C40+C45+C50+C55+C60+C65+C70+C75+C80+C85+C90+C95+C96+C97+C98+C99</f>
        <v>43573.95</v>
      </c>
      <c r="D100" s="124">
        <f>D5+D10+D15+D20+D25+D30+D35+D40+D45+D50+D55+D60+D65+D70+D75+D80+D85+D90+D95+D96+D97+D98+D99</f>
        <v>978.53</v>
      </c>
      <c r="E100" s="124">
        <f>E5+E10+E15+E20+E25+E30+E35+E40+E45+E50+E55+E60+E65+E70+E75+E80+E85+E90+E95+E96+E97+E98+E99</f>
        <v>24294.073000000008</v>
      </c>
      <c r="F100" s="51">
        <f>F5+F10+F15+F20+F25+F30+F35+F40+F45+F50+F55+F60+F65+F70+F75+F80+F85+F90+F95+F96+F97+F98+F99</f>
        <v>34684.844000000005</v>
      </c>
    </row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="60" zoomScaleNormal="60" zoomScalePageLayoutView="0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0" sqref="N10"/>
    </sheetView>
  </sheetViews>
  <sheetFormatPr defaultColWidth="9.00390625" defaultRowHeight="12.75"/>
  <cols>
    <col min="1" max="1" width="58.375" style="0" customWidth="1"/>
    <col min="2" max="2" width="25.25390625" style="0" customWidth="1"/>
    <col min="3" max="6" width="25.25390625" style="3" customWidth="1"/>
    <col min="7" max="7" width="11.75390625" style="3" customWidth="1"/>
    <col min="8" max="8" width="27.00390625" style="3" customWidth="1"/>
    <col min="9" max="9" width="19.375" style="0" customWidth="1"/>
  </cols>
  <sheetData>
    <row r="1" spans="1:6" s="41" customFormat="1" ht="47.25" customHeight="1">
      <c r="A1" s="162" t="s">
        <v>32</v>
      </c>
      <c r="B1" s="162"/>
      <c r="C1" s="162"/>
      <c r="D1" s="162"/>
      <c r="E1" s="162"/>
      <c r="F1" s="162"/>
    </row>
    <row r="2" spans="1:6" s="42" customFormat="1" ht="23.25">
      <c r="A2" s="163" t="s">
        <v>45</v>
      </c>
      <c r="B2" s="163"/>
      <c r="C2" s="163"/>
      <c r="D2" s="164"/>
      <c r="E2" s="164"/>
      <c r="F2" s="164"/>
    </row>
    <row r="3" spans="1:6" ht="18.75" thickBot="1">
      <c r="A3" s="3"/>
      <c r="B3" s="3"/>
      <c r="F3" s="73" t="s">
        <v>31</v>
      </c>
    </row>
    <row r="4" spans="1:6" s="1" customFormat="1" ht="29.25" customHeight="1" thickBot="1">
      <c r="A4" s="43" t="s">
        <v>19</v>
      </c>
      <c r="B4" s="69"/>
      <c r="C4" s="52" t="s">
        <v>0</v>
      </c>
      <c r="D4" s="52" t="s">
        <v>1</v>
      </c>
      <c r="E4" s="52" t="s">
        <v>2</v>
      </c>
      <c r="F4" s="53" t="s">
        <v>3</v>
      </c>
    </row>
    <row r="5" spans="1:6" s="2" customFormat="1" ht="45.75" customHeight="1">
      <c r="A5" s="74" t="s">
        <v>57</v>
      </c>
      <c r="B5" s="55">
        <f>C5+D5+E5+F5</f>
        <v>69866.689</v>
      </c>
      <c r="C5" s="97">
        <f>C6+C7</f>
        <v>32061.415</v>
      </c>
      <c r="D5" s="97">
        <f>D6+D7</f>
        <v>896.346</v>
      </c>
      <c r="E5" s="97">
        <f>E6+E7</f>
        <v>15341.782</v>
      </c>
      <c r="F5" s="98">
        <f>F6+F7</f>
        <v>21567.146</v>
      </c>
    </row>
    <row r="6" spans="1:6" s="2" customFormat="1" ht="27" customHeight="1">
      <c r="A6" s="18" t="s">
        <v>13</v>
      </c>
      <c r="B6" s="5">
        <f aca="true" t="shared" si="0" ref="B6:B69">C6+D6+E6+F6</f>
        <v>54639.794</v>
      </c>
      <c r="C6" s="8">
        <f>32036.114</f>
        <v>32036.114</v>
      </c>
      <c r="D6" s="8">
        <v>895.366</v>
      </c>
      <c r="E6" s="8">
        <v>14617.005</v>
      </c>
      <c r="F6" s="9">
        <v>7091.309</v>
      </c>
    </row>
    <row r="7" spans="1:6" s="2" customFormat="1" ht="20.25" customHeight="1">
      <c r="A7" s="18" t="s">
        <v>10</v>
      </c>
      <c r="B7" s="5">
        <f t="shared" si="0"/>
        <v>15226.895</v>
      </c>
      <c r="C7" s="8">
        <f>C8+C9</f>
        <v>25.301000000000002</v>
      </c>
      <c r="D7" s="20">
        <f>D8+D9</f>
        <v>0.98</v>
      </c>
      <c r="E7" s="20">
        <f>E8+E9</f>
        <v>724.777</v>
      </c>
      <c r="F7" s="21">
        <f>F8+F9</f>
        <v>14475.837000000001</v>
      </c>
    </row>
    <row r="8" spans="1:6" s="2" customFormat="1" ht="21.75" customHeight="1">
      <c r="A8" s="18" t="s">
        <v>11</v>
      </c>
      <c r="B8" s="5">
        <f t="shared" si="0"/>
        <v>4083.736</v>
      </c>
      <c r="C8" s="93">
        <f>0.38+7.839</f>
        <v>8.219000000000001</v>
      </c>
      <c r="D8" s="93"/>
      <c r="E8" s="93">
        <v>101.416</v>
      </c>
      <c r="F8" s="94">
        <v>3974.101</v>
      </c>
    </row>
    <row r="9" spans="1:6" s="2" customFormat="1" ht="24.75" customHeight="1">
      <c r="A9" s="18" t="s">
        <v>12</v>
      </c>
      <c r="B9" s="5">
        <f t="shared" si="0"/>
        <v>11143.159000000001</v>
      </c>
      <c r="C9" s="93">
        <v>17.082</v>
      </c>
      <c r="D9" s="93">
        <v>0.98</v>
      </c>
      <c r="E9" s="93">
        <v>623.361</v>
      </c>
      <c r="F9" s="94">
        <v>10501.736</v>
      </c>
    </row>
    <row r="10" spans="1:6" s="2" customFormat="1" ht="34.5" customHeight="1">
      <c r="A10" s="75" t="s">
        <v>58</v>
      </c>
      <c r="B10" s="5">
        <f t="shared" si="0"/>
        <v>4461.249</v>
      </c>
      <c r="C10" s="20">
        <f>C11+C12</f>
        <v>581.17</v>
      </c>
      <c r="D10" s="20"/>
      <c r="E10" s="20">
        <f>E11+E12</f>
        <v>1478.476</v>
      </c>
      <c r="F10" s="21">
        <f>F11+F12</f>
        <v>2401.603</v>
      </c>
    </row>
    <row r="11" spans="1:6" s="2" customFormat="1" ht="21.75" customHeight="1">
      <c r="A11" s="18" t="s">
        <v>13</v>
      </c>
      <c r="B11" s="5">
        <f t="shared" si="0"/>
        <v>2662.512</v>
      </c>
      <c r="C11" s="8">
        <v>521.443</v>
      </c>
      <c r="D11" s="8"/>
      <c r="E11" s="8">
        <v>1240.912</v>
      </c>
      <c r="F11" s="9">
        <v>900.157</v>
      </c>
    </row>
    <row r="12" spans="1:6" s="2" customFormat="1" ht="19.5" customHeight="1">
      <c r="A12" s="18" t="s">
        <v>10</v>
      </c>
      <c r="B12" s="5">
        <f t="shared" si="0"/>
        <v>1798.7369999999999</v>
      </c>
      <c r="C12" s="20">
        <f>C13+C14</f>
        <v>59.727</v>
      </c>
      <c r="D12" s="8"/>
      <c r="E12" s="20">
        <f>E13+E14</f>
        <v>237.56400000000002</v>
      </c>
      <c r="F12" s="21">
        <f>F13+F14</f>
        <v>1501.446</v>
      </c>
    </row>
    <row r="13" spans="1:6" s="2" customFormat="1" ht="17.25" customHeight="1">
      <c r="A13" s="18" t="s">
        <v>11</v>
      </c>
      <c r="B13" s="5">
        <f t="shared" si="0"/>
        <v>1097.566</v>
      </c>
      <c r="C13" s="93"/>
      <c r="D13" s="93"/>
      <c r="E13" s="93">
        <v>41.747</v>
      </c>
      <c r="F13" s="94">
        <v>1055.819</v>
      </c>
    </row>
    <row r="14" spans="1:6" s="2" customFormat="1" ht="17.25" customHeight="1">
      <c r="A14" s="18" t="s">
        <v>12</v>
      </c>
      <c r="B14" s="5">
        <f t="shared" si="0"/>
        <v>701.171</v>
      </c>
      <c r="C14" s="93">
        <v>59.727</v>
      </c>
      <c r="D14" s="93"/>
      <c r="E14" s="93">
        <v>195.817</v>
      </c>
      <c r="F14" s="94">
        <v>445.627</v>
      </c>
    </row>
    <row r="15" spans="1:6" s="2" customFormat="1" ht="35.25" customHeight="1">
      <c r="A15" s="75" t="s">
        <v>6</v>
      </c>
      <c r="B15" s="5">
        <f t="shared" si="0"/>
        <v>959.672</v>
      </c>
      <c r="C15" s="20">
        <f>C16+C17</f>
        <v>959.672</v>
      </c>
      <c r="D15" s="8"/>
      <c r="E15" s="8"/>
      <c r="F15" s="9"/>
    </row>
    <row r="16" spans="1:6" s="2" customFormat="1" ht="19.5" customHeight="1">
      <c r="A16" s="18" t="s">
        <v>13</v>
      </c>
      <c r="B16" s="5">
        <f t="shared" si="0"/>
        <v>959.46</v>
      </c>
      <c r="C16" s="8">
        <v>959.46</v>
      </c>
      <c r="D16" s="8"/>
      <c r="E16" s="20"/>
      <c r="F16" s="21"/>
    </row>
    <row r="17" spans="1:6" s="2" customFormat="1" ht="18" customHeight="1">
      <c r="A17" s="18" t="s">
        <v>10</v>
      </c>
      <c r="B17" s="5">
        <f t="shared" si="0"/>
        <v>0.212</v>
      </c>
      <c r="C17" s="20">
        <f>C18+C19</f>
        <v>0.212</v>
      </c>
      <c r="D17" s="8"/>
      <c r="E17" s="20"/>
      <c r="F17" s="21"/>
    </row>
    <row r="18" spans="1:6" s="2" customFormat="1" ht="19.5" customHeight="1">
      <c r="A18" s="18" t="s">
        <v>11</v>
      </c>
      <c r="B18" s="5">
        <f t="shared" si="0"/>
        <v>0.212</v>
      </c>
      <c r="C18" s="93">
        <v>0.212</v>
      </c>
      <c r="D18" s="93"/>
      <c r="E18" s="93"/>
      <c r="F18" s="94"/>
    </row>
    <row r="19" spans="1:6" s="2" customFormat="1" ht="19.5" customHeight="1">
      <c r="A19" s="18" t="s">
        <v>12</v>
      </c>
      <c r="B19" s="5">
        <f t="shared" si="0"/>
        <v>0</v>
      </c>
      <c r="C19" s="93"/>
      <c r="D19" s="93"/>
      <c r="E19" s="93"/>
      <c r="F19" s="94"/>
    </row>
    <row r="20" spans="1:6" s="2" customFormat="1" ht="36" customHeight="1">
      <c r="A20" s="75" t="s">
        <v>59</v>
      </c>
      <c r="B20" s="5">
        <f t="shared" si="0"/>
        <v>134.52</v>
      </c>
      <c r="C20" s="20">
        <f>C21+C22</f>
        <v>42.231</v>
      </c>
      <c r="D20" s="20">
        <f>D21+D22</f>
        <v>4.065</v>
      </c>
      <c r="E20" s="20">
        <f>E21+E22</f>
        <v>8.538</v>
      </c>
      <c r="F20" s="21">
        <f>F21+F22</f>
        <v>79.686</v>
      </c>
    </row>
    <row r="21" spans="1:6" s="2" customFormat="1" ht="21.75" customHeight="1">
      <c r="A21" s="18" t="s">
        <v>13</v>
      </c>
      <c r="B21" s="5">
        <f t="shared" si="0"/>
        <v>119.96000000000001</v>
      </c>
      <c r="C21" s="8">
        <v>42.231</v>
      </c>
      <c r="D21" s="8">
        <v>4.065</v>
      </c>
      <c r="E21" s="8">
        <v>8.538</v>
      </c>
      <c r="F21" s="9">
        <v>65.126</v>
      </c>
    </row>
    <row r="22" spans="1:6" s="2" customFormat="1" ht="21" customHeight="1">
      <c r="A22" s="18" t="s">
        <v>10</v>
      </c>
      <c r="B22" s="5">
        <f t="shared" si="0"/>
        <v>14.56</v>
      </c>
      <c r="C22" s="8"/>
      <c r="D22" s="8"/>
      <c r="E22" s="20">
        <f>E23+E24</f>
        <v>0</v>
      </c>
      <c r="F22" s="21">
        <f>F23+F24</f>
        <v>14.56</v>
      </c>
    </row>
    <row r="23" spans="1:6" s="2" customFormat="1" ht="21.75" customHeight="1">
      <c r="A23" s="18" t="s">
        <v>11</v>
      </c>
      <c r="B23" s="5">
        <f t="shared" si="0"/>
        <v>14.56</v>
      </c>
      <c r="C23" s="93"/>
      <c r="D23" s="93"/>
      <c r="E23" s="93"/>
      <c r="F23" s="94">
        <v>14.56</v>
      </c>
    </row>
    <row r="24" spans="1:6" s="2" customFormat="1" ht="21" customHeight="1">
      <c r="A24" s="18" t="s">
        <v>12</v>
      </c>
      <c r="B24" s="5">
        <f t="shared" si="0"/>
        <v>0</v>
      </c>
      <c r="C24" s="93"/>
      <c r="D24" s="93"/>
      <c r="E24" s="93"/>
      <c r="F24" s="94"/>
    </row>
    <row r="25" spans="1:6" s="2" customFormat="1" ht="41.25" customHeight="1">
      <c r="A25" s="75" t="s">
        <v>7</v>
      </c>
      <c r="B25" s="5">
        <f t="shared" si="0"/>
        <v>11436.002999999999</v>
      </c>
      <c r="C25" s="20">
        <f>C26+C27</f>
        <v>6903.288</v>
      </c>
      <c r="D25" s="20"/>
      <c r="E25" s="20">
        <f>E26+E27</f>
        <v>1555.244</v>
      </c>
      <c r="F25" s="21">
        <f>F26+F27</f>
        <v>2977.4709999999995</v>
      </c>
    </row>
    <row r="26" spans="1:6" s="2" customFormat="1" ht="19.5" customHeight="1">
      <c r="A26" s="18" t="s">
        <v>13</v>
      </c>
      <c r="B26" s="5">
        <f t="shared" si="0"/>
        <v>9316.116</v>
      </c>
      <c r="C26" s="8">
        <v>6903.288</v>
      </c>
      <c r="D26" s="8"/>
      <c r="E26" s="20">
        <v>1519.039</v>
      </c>
      <c r="F26" s="21">
        <v>893.789</v>
      </c>
    </row>
    <row r="27" spans="1:6" s="2" customFormat="1" ht="24.75" customHeight="1">
      <c r="A27" s="18" t="s">
        <v>10</v>
      </c>
      <c r="B27" s="5">
        <f t="shared" si="0"/>
        <v>2119.8869999999997</v>
      </c>
      <c r="C27" s="8"/>
      <c r="D27" s="8"/>
      <c r="E27" s="20">
        <f>E28+E29</f>
        <v>36.205</v>
      </c>
      <c r="F27" s="21">
        <f>F28+F29</f>
        <v>2083.682</v>
      </c>
    </row>
    <row r="28" spans="1:6" s="2" customFormat="1" ht="25.5" customHeight="1">
      <c r="A28" s="18" t="s">
        <v>11</v>
      </c>
      <c r="B28" s="5">
        <f t="shared" si="0"/>
        <v>2090.707</v>
      </c>
      <c r="C28" s="93"/>
      <c r="D28" s="93"/>
      <c r="E28" s="93">
        <v>36.205</v>
      </c>
      <c r="F28" s="94">
        <f>1988.052+66.45</f>
        <v>2054.502</v>
      </c>
    </row>
    <row r="29" spans="1:6" s="2" customFormat="1" ht="20.25" customHeight="1">
      <c r="A29" s="18" t="s">
        <v>12</v>
      </c>
      <c r="B29" s="5">
        <f t="shared" si="0"/>
        <v>29.18</v>
      </c>
      <c r="C29" s="93"/>
      <c r="D29" s="93"/>
      <c r="E29" s="93"/>
      <c r="F29" s="94">
        <v>29.18</v>
      </c>
    </row>
    <row r="30" spans="1:9" s="2" customFormat="1" ht="50.25" customHeight="1">
      <c r="A30" s="75" t="s">
        <v>60</v>
      </c>
      <c r="B30" s="5">
        <f t="shared" si="0"/>
        <v>100.429</v>
      </c>
      <c r="C30" s="20"/>
      <c r="D30" s="20"/>
      <c r="E30" s="20">
        <f>E31+E32</f>
        <v>61.576</v>
      </c>
      <c r="F30" s="21">
        <f>F31+F32</f>
        <v>38.853</v>
      </c>
      <c r="H30" s="26"/>
      <c r="I30" s="26"/>
    </row>
    <row r="31" spans="1:9" s="2" customFormat="1" ht="22.5" customHeight="1">
      <c r="A31" s="18" t="s">
        <v>13</v>
      </c>
      <c r="B31" s="5">
        <f t="shared" si="0"/>
        <v>77.53</v>
      </c>
      <c r="C31" s="8"/>
      <c r="D31" s="8"/>
      <c r="E31" s="20">
        <v>61.576</v>
      </c>
      <c r="F31" s="21">
        <v>15.954</v>
      </c>
      <c r="H31" s="26"/>
      <c r="I31" s="26"/>
    </row>
    <row r="32" spans="1:9" s="2" customFormat="1" ht="24.75" customHeight="1">
      <c r="A32" s="18" t="s">
        <v>10</v>
      </c>
      <c r="B32" s="5">
        <f t="shared" si="0"/>
        <v>22.899</v>
      </c>
      <c r="C32" s="8"/>
      <c r="D32" s="8"/>
      <c r="E32" s="20">
        <f>E33+E34</f>
        <v>0</v>
      </c>
      <c r="F32" s="21">
        <f>F33+F34</f>
        <v>22.899</v>
      </c>
      <c r="H32" s="36"/>
      <c r="I32" s="36"/>
    </row>
    <row r="33" spans="1:9" s="2" customFormat="1" ht="18" customHeight="1">
      <c r="A33" s="18" t="s">
        <v>11</v>
      </c>
      <c r="B33" s="5">
        <f t="shared" si="0"/>
        <v>19.553</v>
      </c>
      <c r="C33" s="93"/>
      <c r="D33" s="93"/>
      <c r="E33" s="93"/>
      <c r="F33" s="94">
        <v>19.553</v>
      </c>
      <c r="H33" s="36"/>
      <c r="I33" s="36"/>
    </row>
    <row r="34" spans="1:6" s="2" customFormat="1" ht="18" customHeight="1">
      <c r="A34" s="18" t="s">
        <v>12</v>
      </c>
      <c r="B34" s="5">
        <f t="shared" si="0"/>
        <v>3.346</v>
      </c>
      <c r="C34" s="93"/>
      <c r="D34" s="93"/>
      <c r="E34" s="93"/>
      <c r="F34" s="94">
        <v>3.346</v>
      </c>
    </row>
    <row r="35" spans="1:6" s="2" customFormat="1" ht="36.75" customHeight="1">
      <c r="A35" s="75" t="s">
        <v>61</v>
      </c>
      <c r="B35" s="5">
        <f t="shared" si="0"/>
        <v>83.143</v>
      </c>
      <c r="C35" s="20">
        <f>C36+C37</f>
        <v>0</v>
      </c>
      <c r="D35" s="95"/>
      <c r="E35" s="20">
        <f>E36+E37</f>
        <v>0</v>
      </c>
      <c r="F35" s="21">
        <f>F36+F37</f>
        <v>83.143</v>
      </c>
    </row>
    <row r="36" spans="1:6" s="2" customFormat="1" ht="23.25" customHeight="1">
      <c r="A36" s="18" t="s">
        <v>13</v>
      </c>
      <c r="B36" s="5">
        <f t="shared" si="0"/>
        <v>72.329</v>
      </c>
      <c r="C36" s="8"/>
      <c r="D36" s="8"/>
      <c r="E36" s="8"/>
      <c r="F36" s="9">
        <v>72.329</v>
      </c>
    </row>
    <row r="37" spans="1:6" s="2" customFormat="1" ht="23.25" customHeight="1">
      <c r="A37" s="18" t="s">
        <v>10</v>
      </c>
      <c r="B37" s="5">
        <f t="shared" si="0"/>
        <v>10.814</v>
      </c>
      <c r="C37" s="20">
        <f>C38+C39</f>
        <v>0</v>
      </c>
      <c r="D37" s="8"/>
      <c r="E37" s="20">
        <f>E38+E39</f>
        <v>0</v>
      </c>
      <c r="F37" s="20">
        <f>F38+F39</f>
        <v>10.814</v>
      </c>
    </row>
    <row r="38" spans="1:6" s="2" customFormat="1" ht="23.25" customHeight="1">
      <c r="A38" s="18" t="s">
        <v>11</v>
      </c>
      <c r="B38" s="5">
        <f t="shared" si="0"/>
        <v>0</v>
      </c>
      <c r="C38" s="95"/>
      <c r="D38" s="95"/>
      <c r="E38" s="95"/>
      <c r="F38" s="12"/>
    </row>
    <row r="39" spans="1:6" s="2" customFormat="1" ht="23.25" customHeight="1">
      <c r="A39" s="18" t="s">
        <v>12</v>
      </c>
      <c r="B39" s="5">
        <f t="shared" si="0"/>
        <v>10.814</v>
      </c>
      <c r="C39" s="95"/>
      <c r="D39" s="95"/>
      <c r="E39" s="95"/>
      <c r="F39" s="12">
        <v>10.814</v>
      </c>
    </row>
    <row r="40" spans="1:6" s="2" customFormat="1" ht="42" customHeight="1">
      <c r="A40" s="75" t="s">
        <v>26</v>
      </c>
      <c r="B40" s="5">
        <f t="shared" si="0"/>
        <v>63.71</v>
      </c>
      <c r="C40" s="95">
        <f>C41+C42</f>
        <v>0.763</v>
      </c>
      <c r="D40" s="95"/>
      <c r="E40" s="95">
        <f>E41+E42</f>
        <v>62.947</v>
      </c>
      <c r="F40" s="21"/>
    </row>
    <row r="41" spans="1:6" s="2" customFormat="1" ht="19.5" customHeight="1">
      <c r="A41" s="18" t="s">
        <v>13</v>
      </c>
      <c r="B41" s="5">
        <f t="shared" si="0"/>
        <v>63.71</v>
      </c>
      <c r="C41" s="8">
        <v>0.763</v>
      </c>
      <c r="D41" s="8"/>
      <c r="E41" s="8">
        <v>62.947</v>
      </c>
      <c r="F41" s="9"/>
    </row>
    <row r="42" spans="1:6" s="2" customFormat="1" ht="19.5" customHeight="1">
      <c r="A42" s="18" t="s">
        <v>10</v>
      </c>
      <c r="B42" s="5">
        <f t="shared" si="0"/>
        <v>0</v>
      </c>
      <c r="C42" s="8"/>
      <c r="D42" s="8"/>
      <c r="E42" s="20">
        <f>E43+E44</f>
        <v>0</v>
      </c>
      <c r="F42" s="21">
        <f>F43+F44</f>
        <v>0</v>
      </c>
    </row>
    <row r="43" spans="1:6" s="2" customFormat="1" ht="19.5" customHeight="1">
      <c r="A43" s="18" t="s">
        <v>11</v>
      </c>
      <c r="B43" s="5">
        <f t="shared" si="0"/>
        <v>0</v>
      </c>
      <c r="C43" s="95"/>
      <c r="D43" s="95"/>
      <c r="E43" s="95"/>
      <c r="F43" s="12"/>
    </row>
    <row r="44" spans="1:6" s="2" customFormat="1" ht="19.5" customHeight="1">
      <c r="A44" s="18" t="s">
        <v>12</v>
      </c>
      <c r="B44" s="5">
        <f t="shared" si="0"/>
        <v>0</v>
      </c>
      <c r="C44" s="95"/>
      <c r="D44" s="95"/>
      <c r="E44" s="95"/>
      <c r="F44" s="12"/>
    </row>
    <row r="45" spans="1:6" s="2" customFormat="1" ht="24.75" customHeight="1">
      <c r="A45" s="31" t="s">
        <v>29</v>
      </c>
      <c r="B45" s="5">
        <f t="shared" si="0"/>
        <v>438.01300000000003</v>
      </c>
      <c r="C45" s="10"/>
      <c r="D45" s="8"/>
      <c r="E45" s="20">
        <f>E46+E47</f>
        <v>358.079</v>
      </c>
      <c r="F45" s="21">
        <f>F46+F47</f>
        <v>79.934</v>
      </c>
    </row>
    <row r="46" spans="1:6" s="2" customFormat="1" ht="24.75" customHeight="1">
      <c r="A46" s="18" t="s">
        <v>13</v>
      </c>
      <c r="B46" s="5">
        <f t="shared" si="0"/>
        <v>438.01300000000003</v>
      </c>
      <c r="C46" s="8"/>
      <c r="D46" s="8"/>
      <c r="E46" s="20">
        <v>358.079</v>
      </c>
      <c r="F46" s="21">
        <v>79.934</v>
      </c>
    </row>
    <row r="47" spans="1:6" s="2" customFormat="1" ht="24.75" customHeight="1">
      <c r="A47" s="18" t="s">
        <v>10</v>
      </c>
      <c r="B47" s="5">
        <f t="shared" si="0"/>
        <v>0</v>
      </c>
      <c r="C47" s="8"/>
      <c r="D47" s="8"/>
      <c r="E47" s="20">
        <f>E48+E49</f>
        <v>0</v>
      </c>
      <c r="F47" s="21">
        <f>F48+F49</f>
        <v>0</v>
      </c>
    </row>
    <row r="48" spans="1:6" s="2" customFormat="1" ht="24.75" customHeight="1">
      <c r="A48" s="18" t="s">
        <v>11</v>
      </c>
      <c r="B48" s="5">
        <f t="shared" si="0"/>
        <v>0</v>
      </c>
      <c r="C48" s="10"/>
      <c r="D48" s="8"/>
      <c r="E48" s="10"/>
      <c r="F48" s="17"/>
    </row>
    <row r="49" spans="1:6" s="2" customFormat="1" ht="24.75" customHeight="1">
      <c r="A49" s="18" t="s">
        <v>12</v>
      </c>
      <c r="B49" s="5">
        <f t="shared" si="0"/>
        <v>0</v>
      </c>
      <c r="C49" s="10"/>
      <c r="D49" s="8"/>
      <c r="E49" s="10"/>
      <c r="F49" s="17"/>
    </row>
    <row r="50" spans="1:6" s="2" customFormat="1" ht="24.75" customHeight="1">
      <c r="A50" s="31" t="s">
        <v>4</v>
      </c>
      <c r="B50" s="5">
        <f t="shared" si="0"/>
        <v>639.746</v>
      </c>
      <c r="C50" s="20">
        <f>C51+C52</f>
        <v>639.746</v>
      </c>
      <c r="D50" s="8"/>
      <c r="E50" s="8"/>
      <c r="F50" s="9"/>
    </row>
    <row r="51" spans="1:6" s="2" customFormat="1" ht="24.75" customHeight="1">
      <c r="A51" s="18" t="s">
        <v>13</v>
      </c>
      <c r="B51" s="5">
        <f t="shared" si="0"/>
        <v>639.746</v>
      </c>
      <c r="C51" s="20">
        <v>639.746</v>
      </c>
      <c r="D51" s="8"/>
      <c r="E51" s="20">
        <f>E50-E52</f>
        <v>0</v>
      </c>
      <c r="F51" s="21">
        <f>F50-F52</f>
        <v>0</v>
      </c>
    </row>
    <row r="52" spans="1:6" s="2" customFormat="1" ht="24.75" customHeight="1">
      <c r="A52" s="18" t="s">
        <v>10</v>
      </c>
      <c r="B52" s="5">
        <f t="shared" si="0"/>
        <v>0</v>
      </c>
      <c r="C52" s="20">
        <f>C53+C54</f>
        <v>0</v>
      </c>
      <c r="D52" s="8"/>
      <c r="E52" s="20">
        <f>E53+E54</f>
        <v>0</v>
      </c>
      <c r="F52" s="21">
        <f>F53+F54</f>
        <v>0</v>
      </c>
    </row>
    <row r="53" spans="1:6" s="2" customFormat="1" ht="24.75" customHeight="1">
      <c r="A53" s="18" t="s">
        <v>11</v>
      </c>
      <c r="B53" s="5">
        <f t="shared" si="0"/>
        <v>0</v>
      </c>
      <c r="C53" s="93"/>
      <c r="D53" s="8"/>
      <c r="E53" s="8"/>
      <c r="F53" s="9"/>
    </row>
    <row r="54" spans="1:6" s="2" customFormat="1" ht="24.75" customHeight="1">
      <c r="A54" s="18" t="s">
        <v>12</v>
      </c>
      <c r="B54" s="5">
        <f t="shared" si="0"/>
        <v>0</v>
      </c>
      <c r="C54" s="93"/>
      <c r="D54" s="8"/>
      <c r="E54" s="8"/>
      <c r="F54" s="9"/>
    </row>
    <row r="55" spans="1:6" s="2" customFormat="1" ht="50.25" customHeight="1">
      <c r="A55" s="75" t="s">
        <v>62</v>
      </c>
      <c r="B55" s="5">
        <f t="shared" si="0"/>
        <v>667.799</v>
      </c>
      <c r="C55" s="20">
        <f>C56+C57</f>
        <v>0</v>
      </c>
      <c r="D55" s="20">
        <f>D56+D57</f>
        <v>0</v>
      </c>
      <c r="E55" s="20">
        <f>E56+E57</f>
        <v>252.082</v>
      </c>
      <c r="F55" s="21">
        <f>F56+F57</f>
        <v>415.717</v>
      </c>
    </row>
    <row r="56" spans="1:6" s="2" customFormat="1" ht="26.25" customHeight="1">
      <c r="A56" s="18" t="s">
        <v>13</v>
      </c>
      <c r="B56" s="5">
        <f t="shared" si="0"/>
        <v>354.648</v>
      </c>
      <c r="C56" s="20"/>
      <c r="D56" s="20"/>
      <c r="E56" s="20">
        <v>252.082</v>
      </c>
      <c r="F56" s="21">
        <v>102.566</v>
      </c>
    </row>
    <row r="57" spans="1:6" s="2" customFormat="1" ht="26.25" customHeight="1">
      <c r="A57" s="18" t="s">
        <v>10</v>
      </c>
      <c r="B57" s="5">
        <f t="shared" si="0"/>
        <v>313.15099999999995</v>
      </c>
      <c r="C57" s="20">
        <f>C58+C59</f>
        <v>0</v>
      </c>
      <c r="D57" s="20">
        <f>D58+D59</f>
        <v>0</v>
      </c>
      <c r="E57" s="20">
        <f>E58+E59</f>
        <v>0</v>
      </c>
      <c r="F57" s="21">
        <f>F58+F59</f>
        <v>313.15099999999995</v>
      </c>
    </row>
    <row r="58" spans="1:6" s="2" customFormat="1" ht="26.25" customHeight="1">
      <c r="A58" s="18" t="s">
        <v>11</v>
      </c>
      <c r="B58" s="5">
        <f t="shared" si="0"/>
        <v>274.02</v>
      </c>
      <c r="C58" s="93"/>
      <c r="D58" s="8"/>
      <c r="E58" s="8"/>
      <c r="F58" s="9">
        <v>274.02</v>
      </c>
    </row>
    <row r="59" spans="1:6" s="2" customFormat="1" ht="26.25" customHeight="1">
      <c r="A59" s="18" t="s">
        <v>12</v>
      </c>
      <c r="B59" s="5">
        <f t="shared" si="0"/>
        <v>39.131</v>
      </c>
      <c r="C59" s="93"/>
      <c r="D59" s="8"/>
      <c r="E59" s="8"/>
      <c r="F59" s="9">
        <v>39.131</v>
      </c>
    </row>
    <row r="60" spans="1:6" s="2" customFormat="1" ht="24.75" customHeight="1">
      <c r="A60" s="75" t="s">
        <v>28</v>
      </c>
      <c r="B60" s="5">
        <f t="shared" si="0"/>
        <v>1982.6299999999999</v>
      </c>
      <c r="C60" s="8">
        <f>C61+C62</f>
        <v>1975.03</v>
      </c>
      <c r="D60" s="8"/>
      <c r="E60" s="8">
        <f>E61+E62</f>
        <v>0</v>
      </c>
      <c r="F60" s="9">
        <f>F61+F62</f>
        <v>7.6</v>
      </c>
    </row>
    <row r="61" spans="1:6" s="2" customFormat="1" ht="21.75" customHeight="1">
      <c r="A61" s="18" t="s">
        <v>13</v>
      </c>
      <c r="B61" s="5">
        <f t="shared" si="0"/>
        <v>1982.6299999999999</v>
      </c>
      <c r="C61" s="138">
        <v>1975.03</v>
      </c>
      <c r="D61" s="138"/>
      <c r="E61" s="138"/>
      <c r="F61" s="115">
        <v>7.6</v>
      </c>
    </row>
    <row r="62" spans="1:6" s="2" customFormat="1" ht="16.5" customHeight="1">
      <c r="A62" s="18" t="s">
        <v>10</v>
      </c>
      <c r="B62" s="5">
        <f t="shared" si="0"/>
        <v>0</v>
      </c>
      <c r="C62" s="93"/>
      <c r="D62" s="8"/>
      <c r="E62" s="8">
        <f>E64+E63</f>
        <v>0</v>
      </c>
      <c r="F62" s="9">
        <f>F64+F63</f>
        <v>0</v>
      </c>
    </row>
    <row r="63" spans="1:6" s="2" customFormat="1" ht="18" customHeight="1">
      <c r="A63" s="18" t="s">
        <v>11</v>
      </c>
      <c r="B63" s="5">
        <f t="shared" si="0"/>
        <v>0</v>
      </c>
      <c r="C63" s="93"/>
      <c r="D63" s="8"/>
      <c r="E63" s="10"/>
      <c r="F63" s="17"/>
    </row>
    <row r="64" spans="1:6" s="2" customFormat="1" ht="18" customHeight="1">
      <c r="A64" s="18" t="s">
        <v>12</v>
      </c>
      <c r="B64" s="5">
        <f t="shared" si="0"/>
        <v>0</v>
      </c>
      <c r="C64" s="93"/>
      <c r="D64" s="8"/>
      <c r="E64" s="10"/>
      <c r="F64" s="17"/>
    </row>
    <row r="65" spans="1:6" s="2" customFormat="1" ht="24.75" customHeight="1">
      <c r="A65" s="75" t="s">
        <v>63</v>
      </c>
      <c r="B65" s="5">
        <f t="shared" si="0"/>
        <v>0</v>
      </c>
      <c r="C65" s="8">
        <f>C66+C67</f>
        <v>0</v>
      </c>
      <c r="D65" s="8"/>
      <c r="E65" s="8">
        <f>E66+E67</f>
        <v>0</v>
      </c>
      <c r="F65" s="9">
        <f>F66+F67</f>
        <v>0</v>
      </c>
    </row>
    <row r="66" spans="1:6" s="2" customFormat="1" ht="21.75" customHeight="1">
      <c r="A66" s="18" t="s">
        <v>13</v>
      </c>
      <c r="B66" s="5">
        <f t="shared" si="0"/>
        <v>0</v>
      </c>
      <c r="C66" s="113"/>
      <c r="D66" s="113"/>
      <c r="E66" s="113"/>
      <c r="F66" s="114"/>
    </row>
    <row r="67" spans="1:6" s="2" customFormat="1" ht="18" customHeight="1">
      <c r="A67" s="18" t="s">
        <v>10</v>
      </c>
      <c r="B67" s="5">
        <f t="shared" si="0"/>
        <v>0</v>
      </c>
      <c r="C67" s="93"/>
      <c r="D67" s="8"/>
      <c r="E67" s="8">
        <f>E69+E68</f>
        <v>0</v>
      </c>
      <c r="F67" s="9">
        <f>F69+F68</f>
        <v>0</v>
      </c>
    </row>
    <row r="68" spans="1:6" s="2" customFormat="1" ht="19.5" customHeight="1">
      <c r="A68" s="18" t="s">
        <v>11</v>
      </c>
      <c r="B68" s="5">
        <f t="shared" si="0"/>
        <v>0</v>
      </c>
      <c r="C68" s="93"/>
      <c r="D68" s="8"/>
      <c r="E68" s="10"/>
      <c r="F68" s="17"/>
    </row>
    <row r="69" spans="1:6" s="2" customFormat="1" ht="19.5" customHeight="1">
      <c r="A69" s="18" t="s">
        <v>12</v>
      </c>
      <c r="B69" s="5">
        <f t="shared" si="0"/>
        <v>0</v>
      </c>
      <c r="C69" s="93"/>
      <c r="D69" s="8"/>
      <c r="E69" s="10"/>
      <c r="F69" s="17"/>
    </row>
    <row r="70" spans="1:6" s="38" customFormat="1" ht="34.5" customHeight="1">
      <c r="A70" s="75" t="s">
        <v>25</v>
      </c>
      <c r="B70" s="5">
        <f aca="true" t="shared" si="1" ref="B70:B94">C70+D70+E70+F70</f>
        <v>59.479</v>
      </c>
      <c r="C70" s="93"/>
      <c r="D70" s="8"/>
      <c r="E70" s="8">
        <f>E71+E72</f>
        <v>0</v>
      </c>
      <c r="F70" s="9">
        <f>F71+F72</f>
        <v>59.479</v>
      </c>
    </row>
    <row r="71" spans="1:6" s="38" customFormat="1" ht="23.25" customHeight="1">
      <c r="A71" s="18" t="s">
        <v>13</v>
      </c>
      <c r="B71" s="5">
        <f t="shared" si="1"/>
        <v>8.731</v>
      </c>
      <c r="C71" s="93"/>
      <c r="D71" s="8"/>
      <c r="E71" s="8"/>
      <c r="F71" s="115">
        <v>8.731</v>
      </c>
    </row>
    <row r="72" spans="1:6" s="38" customFormat="1" ht="23.25" customHeight="1">
      <c r="A72" s="18" t="s">
        <v>10</v>
      </c>
      <c r="B72" s="5">
        <f t="shared" si="1"/>
        <v>50.748</v>
      </c>
      <c r="C72" s="93"/>
      <c r="D72" s="8"/>
      <c r="E72" s="8">
        <f>E74+E73</f>
        <v>0</v>
      </c>
      <c r="F72" s="9">
        <f>F74+F73</f>
        <v>50.748</v>
      </c>
    </row>
    <row r="73" spans="1:6" s="38" customFormat="1" ht="23.25" customHeight="1">
      <c r="A73" s="18" t="s">
        <v>11</v>
      </c>
      <c r="B73" s="5">
        <f t="shared" si="1"/>
        <v>50.748</v>
      </c>
      <c r="C73" s="93"/>
      <c r="D73" s="8"/>
      <c r="E73" s="10"/>
      <c r="F73" s="17">
        <v>50.748</v>
      </c>
    </row>
    <row r="74" spans="1:6" s="38" customFormat="1" ht="23.25" customHeight="1">
      <c r="A74" s="18" t="s">
        <v>12</v>
      </c>
      <c r="B74" s="5">
        <f t="shared" si="1"/>
        <v>0</v>
      </c>
      <c r="C74" s="93"/>
      <c r="D74" s="8"/>
      <c r="E74" s="10"/>
      <c r="F74" s="17"/>
    </row>
    <row r="75" spans="1:6" s="38" customFormat="1" ht="33" customHeight="1">
      <c r="A75" s="75" t="s">
        <v>64</v>
      </c>
      <c r="B75" s="5">
        <f t="shared" si="1"/>
        <v>202.212</v>
      </c>
      <c r="C75" s="93"/>
      <c r="D75" s="8"/>
      <c r="E75" s="8">
        <f>E76+E77</f>
        <v>12.753</v>
      </c>
      <c r="F75" s="9">
        <f>F76+F77</f>
        <v>189.459</v>
      </c>
    </row>
    <row r="76" spans="1:6" s="38" customFormat="1" ht="38.25" customHeight="1">
      <c r="A76" s="18" t="s">
        <v>13</v>
      </c>
      <c r="B76" s="5">
        <f t="shared" si="1"/>
        <v>60.39</v>
      </c>
      <c r="C76" s="93"/>
      <c r="D76" s="8"/>
      <c r="E76" s="138">
        <v>12.753</v>
      </c>
      <c r="F76" s="21">
        <v>47.637</v>
      </c>
    </row>
    <row r="77" spans="1:6" ht="42" customHeight="1">
      <c r="A77" s="18" t="s">
        <v>10</v>
      </c>
      <c r="B77" s="5">
        <f t="shared" si="1"/>
        <v>141.822</v>
      </c>
      <c r="C77" s="93"/>
      <c r="D77" s="8"/>
      <c r="E77" s="8">
        <f>E79+E78</f>
        <v>0</v>
      </c>
      <c r="F77" s="9">
        <f>F79+F78</f>
        <v>141.822</v>
      </c>
    </row>
    <row r="78" spans="1:6" ht="18.75">
      <c r="A78" s="18" t="s">
        <v>11</v>
      </c>
      <c r="B78" s="5">
        <f t="shared" si="1"/>
        <v>0</v>
      </c>
      <c r="C78" s="93"/>
      <c r="D78" s="8"/>
      <c r="E78" s="8"/>
      <c r="F78" s="9"/>
    </row>
    <row r="79" spans="1:6" ht="18.75">
      <c r="A79" s="18" t="s">
        <v>12</v>
      </c>
      <c r="B79" s="5">
        <f t="shared" si="1"/>
        <v>141.822</v>
      </c>
      <c r="C79" s="93"/>
      <c r="D79" s="8"/>
      <c r="E79" s="8"/>
      <c r="F79" s="9">
        <v>141.822</v>
      </c>
    </row>
    <row r="80" spans="1:6" ht="18">
      <c r="A80" s="75" t="s">
        <v>8</v>
      </c>
      <c r="B80" s="5">
        <f t="shared" si="1"/>
        <v>974.133</v>
      </c>
      <c r="C80" s="20">
        <f>C81+C82</f>
        <v>0</v>
      </c>
      <c r="D80" s="8"/>
      <c r="E80" s="20">
        <f>E81+E82</f>
        <v>464.58000000000004</v>
      </c>
      <c r="F80" s="21">
        <f>F81+F82</f>
        <v>509.553</v>
      </c>
    </row>
    <row r="81" spans="1:6" ht="18.75">
      <c r="A81" s="18" t="s">
        <v>13</v>
      </c>
      <c r="B81" s="5">
        <f t="shared" si="1"/>
        <v>412.402</v>
      </c>
      <c r="C81" s="8"/>
      <c r="D81" s="8"/>
      <c r="E81" s="20">
        <v>337.536</v>
      </c>
      <c r="F81" s="21">
        <v>74.866</v>
      </c>
    </row>
    <row r="82" spans="1:6" ht="18.75">
      <c r="A82" s="18" t="s">
        <v>10</v>
      </c>
      <c r="B82" s="5">
        <f t="shared" si="1"/>
        <v>561.731</v>
      </c>
      <c r="C82" s="8"/>
      <c r="D82" s="8"/>
      <c r="E82" s="20">
        <f>E83+E84</f>
        <v>127.04400000000001</v>
      </c>
      <c r="F82" s="21">
        <f>F83+F84</f>
        <v>434.687</v>
      </c>
    </row>
    <row r="83" spans="1:6" ht="18.75">
      <c r="A83" s="18" t="s">
        <v>11</v>
      </c>
      <c r="B83" s="5">
        <f t="shared" si="1"/>
        <v>451.937</v>
      </c>
      <c r="C83" s="8"/>
      <c r="D83" s="8"/>
      <c r="E83" s="93">
        <v>125.171</v>
      </c>
      <c r="F83" s="94">
        <f>300.826+25.94</f>
        <v>326.766</v>
      </c>
    </row>
    <row r="84" spans="1:6" ht="18.75">
      <c r="A84" s="18" t="s">
        <v>12</v>
      </c>
      <c r="B84" s="5">
        <f t="shared" si="1"/>
        <v>109.79400000000001</v>
      </c>
      <c r="C84" s="8"/>
      <c r="D84" s="8"/>
      <c r="E84" s="93">
        <v>1.873</v>
      </c>
      <c r="F84" s="94">
        <v>107.921</v>
      </c>
    </row>
    <row r="85" spans="1:6" ht="18">
      <c r="A85" s="75" t="s">
        <v>5</v>
      </c>
      <c r="B85" s="5">
        <f t="shared" si="1"/>
        <v>2426.7819999999997</v>
      </c>
      <c r="C85" s="20">
        <f>C86+C87</f>
        <v>354.099</v>
      </c>
      <c r="D85" s="8"/>
      <c r="E85" s="20">
        <f>E86+E87</f>
        <v>1255.3429999999998</v>
      </c>
      <c r="F85" s="21">
        <f>F86+F87</f>
        <v>817.3399999999999</v>
      </c>
    </row>
    <row r="86" spans="1:6" ht="18.75">
      <c r="A86" s="18" t="s">
        <v>13</v>
      </c>
      <c r="B86" s="5">
        <f t="shared" si="1"/>
        <v>1454.288</v>
      </c>
      <c r="C86" s="20">
        <v>354.099</v>
      </c>
      <c r="D86" s="8"/>
      <c r="E86" s="20">
        <v>760.587</v>
      </c>
      <c r="F86" s="21">
        <v>339.602</v>
      </c>
    </row>
    <row r="87" spans="1:6" ht="18.75">
      <c r="A87" s="18" t="s">
        <v>10</v>
      </c>
      <c r="B87" s="5">
        <f t="shared" si="1"/>
        <v>972.4939999999999</v>
      </c>
      <c r="C87" s="8"/>
      <c r="D87" s="8"/>
      <c r="E87" s="20">
        <f>E88+E89</f>
        <v>494.756</v>
      </c>
      <c r="F87" s="21">
        <f>F88+F89</f>
        <v>477.738</v>
      </c>
    </row>
    <row r="88" spans="1:6" ht="18.75">
      <c r="A88" s="18" t="s">
        <v>11</v>
      </c>
      <c r="B88" s="5">
        <f t="shared" si="1"/>
        <v>968.174</v>
      </c>
      <c r="C88" s="93"/>
      <c r="D88" s="93"/>
      <c r="E88" s="93">
        <f>469.77+20.666</f>
        <v>490.436</v>
      </c>
      <c r="F88" s="94">
        <f>415.377+62.361</f>
        <v>477.738</v>
      </c>
    </row>
    <row r="89" spans="1:6" ht="18.75">
      <c r="A89" s="18" t="s">
        <v>12</v>
      </c>
      <c r="B89" s="5">
        <f t="shared" si="1"/>
        <v>4.32</v>
      </c>
      <c r="C89" s="93"/>
      <c r="D89" s="93"/>
      <c r="E89" s="93">
        <v>4.32</v>
      </c>
      <c r="F89" s="94"/>
    </row>
    <row r="90" spans="1:6" ht="36">
      <c r="A90" s="75" t="s">
        <v>65</v>
      </c>
      <c r="B90" s="5">
        <f t="shared" si="1"/>
        <v>5047.45</v>
      </c>
      <c r="C90" s="20"/>
      <c r="D90" s="8"/>
      <c r="E90" s="20">
        <f>E91+E92</f>
        <v>1143.069</v>
      </c>
      <c r="F90" s="21">
        <f>F91+F92</f>
        <v>3904.381</v>
      </c>
    </row>
    <row r="91" spans="1:6" ht="18.75">
      <c r="A91" s="18" t="s">
        <v>13</v>
      </c>
      <c r="B91" s="5">
        <f t="shared" si="1"/>
        <v>2405.313</v>
      </c>
      <c r="C91" s="8"/>
      <c r="D91" s="8"/>
      <c r="E91" s="20">
        <v>1111.279</v>
      </c>
      <c r="F91" s="21">
        <v>1294.034</v>
      </c>
    </row>
    <row r="92" spans="1:6" ht="18.75">
      <c r="A92" s="18" t="s">
        <v>10</v>
      </c>
      <c r="B92" s="5">
        <f t="shared" si="1"/>
        <v>2642.1369999999997</v>
      </c>
      <c r="C92" s="8"/>
      <c r="D92" s="8"/>
      <c r="E92" s="20">
        <f>E93+E94</f>
        <v>31.79</v>
      </c>
      <c r="F92" s="21">
        <f>F93+F94</f>
        <v>2610.3469999999998</v>
      </c>
    </row>
    <row r="93" spans="1:6" ht="18.75">
      <c r="A93" s="18" t="s">
        <v>11</v>
      </c>
      <c r="B93" s="5">
        <f t="shared" si="1"/>
        <v>599.048</v>
      </c>
      <c r="C93" s="10"/>
      <c r="D93" s="8"/>
      <c r="E93" s="93">
        <v>13.21</v>
      </c>
      <c r="F93" s="94">
        <v>585.838</v>
      </c>
    </row>
    <row r="94" spans="1:6" ht="19.5" thickBot="1">
      <c r="A94" s="19" t="s">
        <v>12</v>
      </c>
      <c r="B94" s="34">
        <f t="shared" si="1"/>
        <v>2043.089</v>
      </c>
      <c r="C94" s="24"/>
      <c r="D94" s="22"/>
      <c r="E94" s="126">
        <v>18.58</v>
      </c>
      <c r="F94" s="127">
        <v>2024.509</v>
      </c>
    </row>
    <row r="95" spans="1:6" ht="18">
      <c r="A95" s="54" t="s">
        <v>21</v>
      </c>
      <c r="B95" s="55">
        <f aca="true" t="shared" si="2" ref="B95:B100">C95+D95+E95+F95</f>
        <v>96.614</v>
      </c>
      <c r="C95" s="144"/>
      <c r="D95" s="134"/>
      <c r="E95" s="134">
        <v>96.614</v>
      </c>
      <c r="F95" s="135"/>
    </row>
    <row r="96" spans="1:6" ht="18">
      <c r="A96" s="31" t="s">
        <v>22</v>
      </c>
      <c r="B96" s="5">
        <f t="shared" si="2"/>
        <v>45.226</v>
      </c>
      <c r="C96" s="145"/>
      <c r="D96" s="11"/>
      <c r="E96" s="11">
        <v>45.226</v>
      </c>
      <c r="F96" s="12"/>
    </row>
    <row r="97" spans="1:6" ht="18">
      <c r="A97" s="31" t="s">
        <v>71</v>
      </c>
      <c r="B97" s="5">
        <f t="shared" si="2"/>
        <v>591.8109999999999</v>
      </c>
      <c r="C97" s="145"/>
      <c r="D97" s="11"/>
      <c r="E97" s="11">
        <v>523.323</v>
      </c>
      <c r="F97" s="12">
        <v>68.488</v>
      </c>
    </row>
    <row r="98" spans="1:6" ht="18">
      <c r="A98" s="31" t="s">
        <v>23</v>
      </c>
      <c r="B98" s="5">
        <f t="shared" si="2"/>
        <v>664.47</v>
      </c>
      <c r="C98" s="145">
        <v>461.658</v>
      </c>
      <c r="D98" s="11"/>
      <c r="E98" s="11">
        <v>90.108</v>
      </c>
      <c r="F98" s="12">
        <v>112.704</v>
      </c>
    </row>
    <row r="99" spans="1:6" ht="36.75" thickBot="1">
      <c r="A99" s="120" t="s">
        <v>24</v>
      </c>
      <c r="B99" s="143">
        <f t="shared" si="2"/>
        <v>384.286</v>
      </c>
      <c r="C99" s="146"/>
      <c r="D99" s="147"/>
      <c r="E99" s="148">
        <v>384.286</v>
      </c>
      <c r="F99" s="149"/>
    </row>
    <row r="100" spans="1:6" ht="18.75" thickBot="1">
      <c r="A100" s="30" t="s">
        <v>66</v>
      </c>
      <c r="B100" s="50">
        <f t="shared" si="2"/>
        <v>101326.06599999999</v>
      </c>
      <c r="C100" s="124">
        <f>C5+C10+C15+C20+C25+C30+C35+C40+C45+C50+C55+C60+C65+C70+C75+C80+C85+C90+C95+C96+C97+C98+C99</f>
        <v>43979.072</v>
      </c>
      <c r="D100" s="124">
        <f>D5+D10+D15+D20+D25+D30+D35+D40+D45+D50+D55+D60+D65+D70+D75+D80+D85+D90+D95+D96+D97+D98+D99</f>
        <v>900.4110000000001</v>
      </c>
      <c r="E100" s="124">
        <f>E5+E10+E15+E20+E25+E30+E35+E40+E45+E50+E55+E60+E65+E70+E75+E80+E85+E90+E95+E96+E97+E98+E99</f>
        <v>23134.026</v>
      </c>
      <c r="F100" s="51">
        <f>F5+F10+F15+F20+F25+F30+F35+F40+F45+F50+F55+F60+F65+F70+F75+F80+F85+F90+F95+F96+F97+F98+F99</f>
        <v>33312.55699999999</v>
      </c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zoomScale="60" zoomScaleNormal="60" zoomScalePageLayoutView="0" workbookViewId="0" topLeftCell="A1">
      <pane xSplit="1" ySplit="4" topLeftCell="B8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00" sqref="B100:F100"/>
    </sheetView>
  </sheetViews>
  <sheetFormatPr defaultColWidth="9.00390625" defaultRowHeight="12.75"/>
  <cols>
    <col min="1" max="1" width="58.375" style="0" customWidth="1"/>
    <col min="2" max="6" width="25.25390625" style="0" customWidth="1"/>
    <col min="7" max="7" width="11.75390625" style="0" customWidth="1"/>
    <col min="8" max="8" width="27.00390625" style="0" customWidth="1"/>
    <col min="9" max="9" width="19.375" style="0" customWidth="1"/>
  </cols>
  <sheetData>
    <row r="1" spans="1:6" s="41" customFormat="1" ht="47.25" customHeight="1">
      <c r="A1" s="162" t="s">
        <v>32</v>
      </c>
      <c r="B1" s="162"/>
      <c r="C1" s="162"/>
      <c r="D1" s="162"/>
      <c r="E1" s="162"/>
      <c r="F1" s="162"/>
    </row>
    <row r="2" spans="1:6" s="42" customFormat="1" ht="23.25">
      <c r="A2" s="163" t="s">
        <v>46</v>
      </c>
      <c r="B2" s="163"/>
      <c r="C2" s="163"/>
      <c r="D2" s="164"/>
      <c r="E2" s="164"/>
      <c r="F2" s="164"/>
    </row>
    <row r="3" s="3" customFormat="1" ht="18.75" thickBot="1">
      <c r="F3" s="73" t="s">
        <v>31</v>
      </c>
    </row>
    <row r="4" spans="1:6" s="1" customFormat="1" ht="29.25" customHeight="1" thickBot="1">
      <c r="A4" s="43" t="s">
        <v>67</v>
      </c>
      <c r="B4" s="69"/>
      <c r="C4" s="52" t="s">
        <v>0</v>
      </c>
      <c r="D4" s="52" t="s">
        <v>1</v>
      </c>
      <c r="E4" s="52" t="s">
        <v>2</v>
      </c>
      <c r="F4" s="53" t="s">
        <v>3</v>
      </c>
    </row>
    <row r="5" spans="1:6" s="2" customFormat="1" ht="45.75" customHeight="1">
      <c r="A5" s="74" t="s">
        <v>57</v>
      </c>
      <c r="B5" s="55">
        <f>C5+D5+E5+F5</f>
        <v>220916.219</v>
      </c>
      <c r="C5" s="63">
        <f>C6+C7</f>
        <v>98720.398</v>
      </c>
      <c r="D5" s="63">
        <f>D6+D7</f>
        <v>2982.176</v>
      </c>
      <c r="E5" s="63">
        <f>E6+E7</f>
        <v>50631.33</v>
      </c>
      <c r="F5" s="64">
        <f>F6+F7</f>
        <v>68582.315</v>
      </c>
    </row>
    <row r="6" spans="1:6" s="2" customFormat="1" ht="27" customHeight="1">
      <c r="A6" s="18" t="s">
        <v>13</v>
      </c>
      <c r="B6" s="5">
        <f aca="true" t="shared" si="0" ref="B6:B39">C6+D6+E6+F6</f>
        <v>175219.91600000003</v>
      </c>
      <c r="C6" s="8">
        <f>'апрель факт'!C6+'май факт'!C6+'июнь факт '!C6</f>
        <v>98627.98300000001</v>
      </c>
      <c r="D6" s="8">
        <f>'апрель факт'!D6+'май факт'!D6+'июнь факт '!D6</f>
        <v>2978.8559999999998</v>
      </c>
      <c r="E6" s="8">
        <f>'апрель факт'!E6+'май факт'!E6+'июнь факт '!E6</f>
        <v>48531.333</v>
      </c>
      <c r="F6" s="9">
        <f>'апрель факт'!F6+'май факт'!F6+'июнь факт '!F6</f>
        <v>25081.744000000002</v>
      </c>
    </row>
    <row r="7" spans="1:6" s="2" customFormat="1" ht="20.25" customHeight="1">
      <c r="A7" s="18" t="s">
        <v>10</v>
      </c>
      <c r="B7" s="5">
        <f t="shared" si="0"/>
        <v>45696.30300000001</v>
      </c>
      <c r="C7" s="8">
        <f>C8+C9</f>
        <v>92.41499999999999</v>
      </c>
      <c r="D7" s="15">
        <f>D8+D9</f>
        <v>3.32</v>
      </c>
      <c r="E7" s="15">
        <f>E8+E9</f>
        <v>2099.9970000000003</v>
      </c>
      <c r="F7" s="16">
        <f>F8+F9</f>
        <v>43500.571</v>
      </c>
    </row>
    <row r="8" spans="1:6" s="2" customFormat="1" ht="21.75" customHeight="1">
      <c r="A8" s="18" t="s">
        <v>11</v>
      </c>
      <c r="B8" s="5">
        <f t="shared" si="0"/>
        <v>12648.063</v>
      </c>
      <c r="C8" s="10">
        <f>'апрель факт'!C8+'май факт'!C8+'июнь факт '!C8</f>
        <v>33.81</v>
      </c>
      <c r="D8" s="10">
        <f>'апрель факт'!D8+'май факт'!D8+'июнь факт '!D8</f>
        <v>0</v>
      </c>
      <c r="E8" s="10">
        <f>'апрель факт'!E8+'май факт'!E8+'июнь факт '!E8</f>
        <v>334.905</v>
      </c>
      <c r="F8" s="17">
        <f>'апрель факт'!F8+'май факт'!F8+'июнь факт '!F8</f>
        <v>12279.348</v>
      </c>
    </row>
    <row r="9" spans="1:6" s="2" customFormat="1" ht="24.75" customHeight="1">
      <c r="A9" s="18" t="s">
        <v>12</v>
      </c>
      <c r="B9" s="5">
        <f t="shared" si="0"/>
        <v>33048.240000000005</v>
      </c>
      <c r="C9" s="10">
        <f>'апрель факт'!C9+'май факт'!C9+'июнь факт '!C9</f>
        <v>58.605</v>
      </c>
      <c r="D9" s="10">
        <f>'апрель факт'!D9+'май факт'!D9+'июнь факт '!D9</f>
        <v>3.32</v>
      </c>
      <c r="E9" s="10">
        <f>'апрель факт'!E9+'май факт'!E9+'июнь факт '!E9</f>
        <v>1765.092</v>
      </c>
      <c r="F9" s="17">
        <f>'апрель факт'!F9+'май факт'!F9+'июнь факт '!F9</f>
        <v>31221.223</v>
      </c>
    </row>
    <row r="10" spans="1:6" s="2" customFormat="1" ht="34.5" customHeight="1">
      <c r="A10" s="75" t="s">
        <v>58</v>
      </c>
      <c r="B10" s="5">
        <f t="shared" si="0"/>
        <v>14848.033000000001</v>
      </c>
      <c r="C10" s="15">
        <f>C11+C12</f>
        <v>2053.7200000000003</v>
      </c>
      <c r="D10" s="15">
        <f>D11+D12</f>
        <v>0</v>
      </c>
      <c r="E10" s="15">
        <f>E11+E12</f>
        <v>5011.9220000000005</v>
      </c>
      <c r="F10" s="16">
        <f>F11+F12</f>
        <v>7782.3910000000005</v>
      </c>
    </row>
    <row r="11" spans="1:6" s="2" customFormat="1" ht="21.75" customHeight="1">
      <c r="A11" s="18" t="s">
        <v>13</v>
      </c>
      <c r="B11" s="5">
        <f t="shared" si="0"/>
        <v>8975.747</v>
      </c>
      <c r="C11" s="8">
        <f>'апрель факт'!C11+'май факт'!C11+'июнь факт '!C11</f>
        <v>1835.6000000000001</v>
      </c>
      <c r="D11" s="8">
        <f>'апрель факт'!D11+'май факт'!D11+'июнь факт '!D11</f>
        <v>0</v>
      </c>
      <c r="E11" s="8">
        <f>'апрель факт'!E11+'май факт'!E11+'июнь факт '!E11</f>
        <v>4194.098</v>
      </c>
      <c r="F11" s="9">
        <f>'апрель факт'!F11+'май факт'!F11+'июнь факт '!F11</f>
        <v>2946.049</v>
      </c>
    </row>
    <row r="12" spans="1:6" s="2" customFormat="1" ht="19.5" customHeight="1">
      <c r="A12" s="18" t="s">
        <v>10</v>
      </c>
      <c r="B12" s="5">
        <f t="shared" si="0"/>
        <v>5872.286</v>
      </c>
      <c r="C12" s="8">
        <f>C13+C14</f>
        <v>218.12</v>
      </c>
      <c r="D12" s="15">
        <f>D13+D14</f>
        <v>0</v>
      </c>
      <c r="E12" s="15">
        <f>E13+E14</f>
        <v>817.8240000000001</v>
      </c>
      <c r="F12" s="16">
        <f>F13+F14</f>
        <v>4836.342000000001</v>
      </c>
    </row>
    <row r="13" spans="1:6" s="2" customFormat="1" ht="17.25" customHeight="1">
      <c r="A13" s="18" t="s">
        <v>11</v>
      </c>
      <c r="B13" s="5">
        <f t="shared" si="0"/>
        <v>3451.965</v>
      </c>
      <c r="C13" s="10">
        <f>'апрель факт'!C13+'май факт'!C13+'июнь факт '!C13</f>
        <v>0</v>
      </c>
      <c r="D13" s="10">
        <f>'апрель факт'!D13+'май факт'!D13+'июнь факт '!D13</f>
        <v>0</v>
      </c>
      <c r="E13" s="10">
        <f>'апрель факт'!E13+'май факт'!E13+'июнь факт '!E13</f>
        <v>144.777</v>
      </c>
      <c r="F13" s="17">
        <f>'апрель факт'!F13+'май факт'!F13+'июнь факт '!F13</f>
        <v>3307.188</v>
      </c>
    </row>
    <row r="14" spans="1:6" s="2" customFormat="1" ht="17.25" customHeight="1">
      <c r="A14" s="18" t="s">
        <v>12</v>
      </c>
      <c r="B14" s="5">
        <f t="shared" si="0"/>
        <v>2420.321</v>
      </c>
      <c r="C14" s="10">
        <f>'апрель факт'!C14+'май факт'!C14+'июнь факт '!C14</f>
        <v>218.12</v>
      </c>
      <c r="D14" s="10">
        <f>'апрель факт'!D14+'май факт'!D14+'июнь факт '!D14</f>
        <v>0</v>
      </c>
      <c r="E14" s="10">
        <f>'апрель факт'!E14+'май факт'!E14+'июнь факт '!E14</f>
        <v>673.047</v>
      </c>
      <c r="F14" s="17">
        <f>'апрель факт'!F14+'май факт'!F14+'июнь факт '!F14</f>
        <v>1529.154</v>
      </c>
    </row>
    <row r="15" spans="1:6" s="2" customFormat="1" ht="35.25" customHeight="1">
      <c r="A15" s="75" t="s">
        <v>6</v>
      </c>
      <c r="B15" s="5">
        <f t="shared" si="0"/>
        <v>3079.66</v>
      </c>
      <c r="C15" s="15">
        <f>C16+C17</f>
        <v>3079.66</v>
      </c>
      <c r="D15" s="15">
        <f>D16+D17</f>
        <v>0</v>
      </c>
      <c r="E15" s="15">
        <f>E16+E17</f>
        <v>0</v>
      </c>
      <c r="F15" s="16">
        <f>F16+F17</f>
        <v>0</v>
      </c>
    </row>
    <row r="16" spans="1:6" s="2" customFormat="1" ht="19.5" customHeight="1">
      <c r="A16" s="18" t="s">
        <v>13</v>
      </c>
      <c r="B16" s="5">
        <f t="shared" si="0"/>
        <v>3079.08</v>
      </c>
      <c r="C16" s="8">
        <f>'апрель факт'!C16+'май факт'!C16+'июнь факт '!C16</f>
        <v>3079.08</v>
      </c>
      <c r="D16" s="8">
        <f>'апрель факт'!D16+'май факт'!D16+'июнь факт '!D16</f>
        <v>0</v>
      </c>
      <c r="E16" s="8">
        <f>'апрель факт'!E16+'май факт'!E16+'июнь факт '!E16</f>
        <v>0</v>
      </c>
      <c r="F16" s="9">
        <f>'апрель факт'!F16+'май факт'!F16+'июнь факт '!F16</f>
        <v>0</v>
      </c>
    </row>
    <row r="17" spans="1:6" s="2" customFormat="1" ht="18" customHeight="1">
      <c r="A17" s="18" t="s">
        <v>10</v>
      </c>
      <c r="B17" s="5">
        <f t="shared" si="0"/>
        <v>0.58</v>
      </c>
      <c r="C17" s="8">
        <f>C18+C19</f>
        <v>0.58</v>
      </c>
      <c r="D17" s="15">
        <f>D18+D19</f>
        <v>0</v>
      </c>
      <c r="E17" s="15">
        <f>E18+E19</f>
        <v>0</v>
      </c>
      <c r="F17" s="16">
        <f>F18+F19</f>
        <v>0</v>
      </c>
    </row>
    <row r="18" spans="1:6" s="2" customFormat="1" ht="19.5" customHeight="1">
      <c r="A18" s="18" t="s">
        <v>11</v>
      </c>
      <c r="B18" s="5">
        <f t="shared" si="0"/>
        <v>0.58</v>
      </c>
      <c r="C18" s="10">
        <f>'апрель факт'!C18+'май факт'!C18+'июнь факт '!C18</f>
        <v>0.58</v>
      </c>
      <c r="D18" s="10">
        <f>'апрель факт'!D18+'май факт'!D18+'июнь факт '!D18</f>
        <v>0</v>
      </c>
      <c r="E18" s="10">
        <f>'апрель факт'!E18+'май факт'!E18+'июнь факт '!E18</f>
        <v>0</v>
      </c>
      <c r="F18" s="17">
        <f>'апрель факт'!F18+'май факт'!F18+'июнь факт '!F18</f>
        <v>0</v>
      </c>
    </row>
    <row r="19" spans="1:6" s="2" customFormat="1" ht="19.5" customHeight="1">
      <c r="A19" s="18" t="s">
        <v>12</v>
      </c>
      <c r="B19" s="5">
        <f t="shared" si="0"/>
        <v>0</v>
      </c>
      <c r="C19" s="10">
        <f>'апрель факт'!C19+'май факт'!C19+'июнь факт '!C19</f>
        <v>0</v>
      </c>
      <c r="D19" s="10">
        <f>'апрель факт'!D19+'май факт'!D19+'июнь факт '!D19</f>
        <v>0</v>
      </c>
      <c r="E19" s="10">
        <f>'апрель факт'!E19+'май факт'!E19+'июнь факт '!E19</f>
        <v>0</v>
      </c>
      <c r="F19" s="17">
        <f>'апрель факт'!F19+'май факт'!F19+'июнь факт '!F19</f>
        <v>0</v>
      </c>
    </row>
    <row r="20" spans="1:6" s="2" customFormat="1" ht="36" customHeight="1">
      <c r="A20" s="75" t="s">
        <v>59</v>
      </c>
      <c r="B20" s="5">
        <f t="shared" si="0"/>
        <v>772.14</v>
      </c>
      <c r="C20" s="15">
        <f>C21+C22</f>
        <v>76.769</v>
      </c>
      <c r="D20" s="15">
        <f>D21+D22</f>
        <v>449.358</v>
      </c>
      <c r="E20" s="15">
        <f>E21+E22</f>
        <v>9.614</v>
      </c>
      <c r="F20" s="16">
        <f>F21+F22</f>
        <v>236.399</v>
      </c>
    </row>
    <row r="21" spans="1:6" s="2" customFormat="1" ht="21.75" customHeight="1">
      <c r="A21" s="18" t="s">
        <v>13</v>
      </c>
      <c r="B21" s="5">
        <f t="shared" si="0"/>
        <v>719.14</v>
      </c>
      <c r="C21" s="8">
        <f>'апрель факт'!C21+'май факт'!C21+'июнь факт '!C21</f>
        <v>76.769</v>
      </c>
      <c r="D21" s="8">
        <f>'апрель факт'!D21+'май факт'!D21+'июнь факт '!D21</f>
        <v>449.358</v>
      </c>
      <c r="E21" s="8">
        <f>'апрель факт'!E21+'май факт'!E21+'июнь факт '!E21</f>
        <v>9.614</v>
      </c>
      <c r="F21" s="9">
        <f>'апрель факт'!F21+'май факт'!F21+'июнь факт '!F21</f>
        <v>183.399</v>
      </c>
    </row>
    <row r="22" spans="1:6" s="2" customFormat="1" ht="21" customHeight="1">
      <c r="A22" s="18" t="s">
        <v>10</v>
      </c>
      <c r="B22" s="5">
        <f t="shared" si="0"/>
        <v>53</v>
      </c>
      <c r="C22" s="8">
        <f>C23+C24</f>
        <v>0</v>
      </c>
      <c r="D22" s="15">
        <f>D23+D24</f>
        <v>0</v>
      </c>
      <c r="E22" s="15">
        <f>E23+E24</f>
        <v>0</v>
      </c>
      <c r="F22" s="16">
        <f>F23+F24</f>
        <v>53</v>
      </c>
    </row>
    <row r="23" spans="1:6" s="2" customFormat="1" ht="21.75" customHeight="1">
      <c r="A23" s="18" t="s">
        <v>11</v>
      </c>
      <c r="B23" s="5">
        <f t="shared" si="0"/>
        <v>53</v>
      </c>
      <c r="C23" s="10">
        <f>'апрель факт'!C23+'май факт'!C23+'июнь факт '!C23</f>
        <v>0</v>
      </c>
      <c r="D23" s="10">
        <f>'апрель факт'!D23+'май факт'!D23+'июнь факт '!D23</f>
        <v>0</v>
      </c>
      <c r="E23" s="10">
        <f>'апрель факт'!E23+'май факт'!E23+'июнь факт '!E23</f>
        <v>0</v>
      </c>
      <c r="F23" s="17">
        <f>'апрель факт'!F23+'май факт'!F23+'июнь факт '!F23</f>
        <v>53</v>
      </c>
    </row>
    <row r="24" spans="1:6" s="2" customFormat="1" ht="21" customHeight="1">
      <c r="A24" s="18" t="s">
        <v>12</v>
      </c>
      <c r="B24" s="5">
        <f t="shared" si="0"/>
        <v>0</v>
      </c>
      <c r="C24" s="10">
        <f>'апрель факт'!C24+'май факт'!C24+'июнь факт '!C24</f>
        <v>0</v>
      </c>
      <c r="D24" s="10">
        <f>'апрель факт'!D24+'май факт'!D24+'июнь факт '!D24</f>
        <v>0</v>
      </c>
      <c r="E24" s="10">
        <f>'апрель факт'!E24+'май факт'!E24+'июнь факт '!E24</f>
        <v>0</v>
      </c>
      <c r="F24" s="17">
        <f>'апрель факт'!F24+'май факт'!F24+'июнь факт '!F24</f>
        <v>0</v>
      </c>
    </row>
    <row r="25" spans="1:6" s="2" customFormat="1" ht="41.25" customHeight="1">
      <c r="A25" s="75" t="s">
        <v>7</v>
      </c>
      <c r="B25" s="5">
        <f t="shared" si="0"/>
        <v>35431.318</v>
      </c>
      <c r="C25" s="15">
        <f>C26+C27</f>
        <v>20976.052</v>
      </c>
      <c r="D25" s="15">
        <f>D26+D27</f>
        <v>0</v>
      </c>
      <c r="E25" s="15">
        <f>E26+E27</f>
        <v>5040.1050000000005</v>
      </c>
      <c r="F25" s="16">
        <f>F26+F27</f>
        <v>9415.161</v>
      </c>
    </row>
    <row r="26" spans="1:6" s="2" customFormat="1" ht="19.5" customHeight="1">
      <c r="A26" s="18" t="s">
        <v>13</v>
      </c>
      <c r="B26" s="5">
        <f t="shared" si="0"/>
        <v>28813.809999999998</v>
      </c>
      <c r="C26" s="8">
        <f>'апрель факт'!C26+'май факт'!C26+'июнь факт '!C26</f>
        <v>20976.052</v>
      </c>
      <c r="D26" s="8">
        <f>'апрель факт'!D26+'май факт'!D26+'июнь факт '!D26</f>
        <v>0</v>
      </c>
      <c r="E26" s="8">
        <f>'апрель факт'!E26+'май факт'!E26+'июнь факт '!E26</f>
        <v>4914.05</v>
      </c>
      <c r="F26" s="9">
        <f>'апрель факт'!F26+'май факт'!F26+'июнь факт '!F26</f>
        <v>2923.7079999999996</v>
      </c>
    </row>
    <row r="27" spans="1:6" s="2" customFormat="1" ht="24.75" customHeight="1">
      <c r="A27" s="18" t="s">
        <v>10</v>
      </c>
      <c r="B27" s="5">
        <f t="shared" si="0"/>
        <v>6617.508</v>
      </c>
      <c r="C27" s="8">
        <f>C28+C29</f>
        <v>0</v>
      </c>
      <c r="D27" s="15">
        <f>D28+D29</f>
        <v>0</v>
      </c>
      <c r="E27" s="15">
        <f>E28+E29</f>
        <v>126.05499999999999</v>
      </c>
      <c r="F27" s="16">
        <f>F28+F29</f>
        <v>6491.4529999999995</v>
      </c>
    </row>
    <row r="28" spans="1:6" s="2" customFormat="1" ht="25.5" customHeight="1">
      <c r="A28" s="18" t="s">
        <v>11</v>
      </c>
      <c r="B28" s="5">
        <f t="shared" si="0"/>
        <v>6532.126</v>
      </c>
      <c r="C28" s="10">
        <f>'апрель факт'!C28+'май факт'!C28+'июнь факт '!C28</f>
        <v>0</v>
      </c>
      <c r="D28" s="10">
        <f>'апрель факт'!D28+'май факт'!D28+'июнь факт '!D28</f>
        <v>0</v>
      </c>
      <c r="E28" s="10">
        <f>'апрель факт'!E28+'май факт'!E28+'июнь факт '!E28</f>
        <v>126.05499999999999</v>
      </c>
      <c r="F28" s="17">
        <f>'апрель факт'!F28+'май факт'!F28+'июнь факт '!F28</f>
        <v>6406.071</v>
      </c>
    </row>
    <row r="29" spans="1:6" s="2" customFormat="1" ht="20.25" customHeight="1">
      <c r="A29" s="18" t="s">
        <v>12</v>
      </c>
      <c r="B29" s="5">
        <f t="shared" si="0"/>
        <v>85.382</v>
      </c>
      <c r="C29" s="10">
        <f>'апрель факт'!C29+'май факт'!C29+'июнь факт '!C29</f>
        <v>0</v>
      </c>
      <c r="D29" s="10">
        <f>'апрель факт'!D29+'май факт'!D29+'июнь факт '!D29</f>
        <v>0</v>
      </c>
      <c r="E29" s="10">
        <f>'апрель факт'!E29+'май факт'!E29+'июнь факт '!E29</f>
        <v>0</v>
      </c>
      <c r="F29" s="17">
        <f>'апрель факт'!F29+'май факт'!F29+'июнь факт '!F29</f>
        <v>85.382</v>
      </c>
    </row>
    <row r="30" spans="1:6" s="2" customFormat="1" ht="50.25" customHeight="1">
      <c r="A30" s="75" t="s">
        <v>60</v>
      </c>
      <c r="B30" s="5">
        <f t="shared" si="0"/>
        <v>313.149</v>
      </c>
      <c r="C30" s="15">
        <f>C31+C32</f>
        <v>0</v>
      </c>
      <c r="D30" s="15">
        <f>D31+D32</f>
        <v>0</v>
      </c>
      <c r="E30" s="15">
        <f>E31+E32</f>
        <v>199.64399999999998</v>
      </c>
      <c r="F30" s="16">
        <f>F31+F32</f>
        <v>113.505</v>
      </c>
    </row>
    <row r="31" spans="1:6" s="2" customFormat="1" ht="22.5" customHeight="1">
      <c r="A31" s="18" t="s">
        <v>13</v>
      </c>
      <c r="B31" s="5">
        <f t="shared" si="0"/>
        <v>240.37599999999998</v>
      </c>
      <c r="C31" s="8">
        <f>'апрель факт'!C31+'май факт'!C31+'июнь факт '!C31</f>
        <v>0</v>
      </c>
      <c r="D31" s="8">
        <f>'апрель факт'!D31+'май факт'!D31+'июнь факт '!D31</f>
        <v>0</v>
      </c>
      <c r="E31" s="8">
        <f>'апрель факт'!E31+'май факт'!E31+'июнь факт '!E31</f>
        <v>199.64399999999998</v>
      </c>
      <c r="F31" s="9">
        <f>'апрель факт'!F31+'май факт'!F31+'июнь факт '!F31</f>
        <v>40.732</v>
      </c>
    </row>
    <row r="32" spans="1:6" s="2" customFormat="1" ht="24.75" customHeight="1">
      <c r="A32" s="18" t="s">
        <v>10</v>
      </c>
      <c r="B32" s="5">
        <f t="shared" si="0"/>
        <v>72.773</v>
      </c>
      <c r="C32" s="8">
        <f>C33+C34</f>
        <v>0</v>
      </c>
      <c r="D32" s="15">
        <f>D33+D34</f>
        <v>0</v>
      </c>
      <c r="E32" s="15">
        <f>E33+E34</f>
        <v>0</v>
      </c>
      <c r="F32" s="16">
        <f>F33+F34</f>
        <v>72.773</v>
      </c>
    </row>
    <row r="33" spans="1:6" s="2" customFormat="1" ht="18" customHeight="1">
      <c r="A33" s="18" t="s">
        <v>11</v>
      </c>
      <c r="B33" s="5">
        <f t="shared" si="0"/>
        <v>60.605000000000004</v>
      </c>
      <c r="C33" s="10">
        <f>'апрель факт'!C33+'май факт'!C33+'июнь факт '!C33</f>
        <v>0</v>
      </c>
      <c r="D33" s="10">
        <f>'апрель факт'!D33+'май факт'!D33+'июнь факт '!D33</f>
        <v>0</v>
      </c>
      <c r="E33" s="10">
        <f>'апрель факт'!E33+'май факт'!E33+'июнь факт '!E33</f>
        <v>0</v>
      </c>
      <c r="F33" s="17">
        <f>'апрель факт'!F33+'май факт'!F33+'июнь факт '!F33</f>
        <v>60.605000000000004</v>
      </c>
    </row>
    <row r="34" spans="1:6" s="2" customFormat="1" ht="18" customHeight="1">
      <c r="A34" s="18" t="s">
        <v>12</v>
      </c>
      <c r="B34" s="5">
        <f t="shared" si="0"/>
        <v>12.168</v>
      </c>
      <c r="C34" s="10">
        <f>'апрель факт'!C34+'май факт'!C34+'июнь факт '!C34</f>
        <v>0</v>
      </c>
      <c r="D34" s="10">
        <f>'апрель факт'!D34+'май факт'!D34+'июнь факт '!D34</f>
        <v>0</v>
      </c>
      <c r="E34" s="10">
        <f>'апрель факт'!E34+'май факт'!E34+'июнь факт '!E34</f>
        <v>0</v>
      </c>
      <c r="F34" s="17">
        <f>'апрель факт'!F34+'май факт'!F34+'июнь факт '!F34</f>
        <v>12.168</v>
      </c>
    </row>
    <row r="35" spans="1:6" s="2" customFormat="1" ht="25.5" customHeight="1">
      <c r="A35" s="75" t="s">
        <v>61</v>
      </c>
      <c r="B35" s="5">
        <f t="shared" si="0"/>
        <v>309.87100000000004</v>
      </c>
      <c r="C35" s="15">
        <f>C36+C37</f>
        <v>0</v>
      </c>
      <c r="D35" s="15">
        <f>D36+D37</f>
        <v>0</v>
      </c>
      <c r="E35" s="15">
        <f>E36+E37</f>
        <v>0</v>
      </c>
      <c r="F35" s="16">
        <f>F36+F37</f>
        <v>309.87100000000004</v>
      </c>
    </row>
    <row r="36" spans="1:6" s="2" customFormat="1" ht="23.25" customHeight="1">
      <c r="A36" s="18" t="s">
        <v>13</v>
      </c>
      <c r="B36" s="5">
        <f t="shared" si="0"/>
        <v>274.396</v>
      </c>
      <c r="C36" s="8">
        <f>'апрель факт'!C36+'май факт'!C36+'июнь факт '!C36</f>
        <v>0</v>
      </c>
      <c r="D36" s="8">
        <f>'апрель факт'!D36+'май факт'!D36+'июнь факт '!D36</f>
        <v>0</v>
      </c>
      <c r="E36" s="8">
        <f>'апрель факт'!E36+'май факт'!E36+'июнь факт '!E36</f>
        <v>0</v>
      </c>
      <c r="F36" s="9">
        <f>'апрель факт'!F36+'май факт'!F36+'июнь факт '!F36</f>
        <v>274.396</v>
      </c>
    </row>
    <row r="37" spans="1:6" s="2" customFormat="1" ht="23.25" customHeight="1">
      <c r="A37" s="18" t="s">
        <v>10</v>
      </c>
      <c r="B37" s="5">
        <f t="shared" si="0"/>
        <v>35.475</v>
      </c>
      <c r="C37" s="8">
        <f>C38+C39</f>
        <v>0</v>
      </c>
      <c r="D37" s="15">
        <f>D38+D39</f>
        <v>0</v>
      </c>
      <c r="E37" s="15">
        <f>E38+E39</f>
        <v>0</v>
      </c>
      <c r="F37" s="16">
        <f>F38+F39</f>
        <v>35.475</v>
      </c>
    </row>
    <row r="38" spans="1:6" s="2" customFormat="1" ht="23.25" customHeight="1">
      <c r="A38" s="18" t="s">
        <v>11</v>
      </c>
      <c r="B38" s="5">
        <f t="shared" si="0"/>
        <v>0</v>
      </c>
      <c r="C38" s="10">
        <f>'апрель факт'!C38+'май факт'!C38+'июнь факт '!C38</f>
        <v>0</v>
      </c>
      <c r="D38" s="10">
        <f>'апрель факт'!D38+'май факт'!D38+'июнь факт '!D38</f>
        <v>0</v>
      </c>
      <c r="E38" s="10">
        <f>'апрель факт'!E38+'май факт'!E38+'июнь факт '!E38</f>
        <v>0</v>
      </c>
      <c r="F38" s="17">
        <f>'апрель факт'!F38+'май факт'!F38+'июнь факт '!F38</f>
        <v>0</v>
      </c>
    </row>
    <row r="39" spans="1:6" s="2" customFormat="1" ht="23.25" customHeight="1">
      <c r="A39" s="18" t="s">
        <v>12</v>
      </c>
      <c r="B39" s="5">
        <f t="shared" si="0"/>
        <v>35.475</v>
      </c>
      <c r="C39" s="10">
        <f>'апрель факт'!C39+'май факт'!C39+'июнь факт '!C39</f>
        <v>0</v>
      </c>
      <c r="D39" s="10">
        <f>'апрель факт'!D39+'май факт'!D39+'июнь факт '!D39</f>
        <v>0</v>
      </c>
      <c r="E39" s="10">
        <f>'апрель факт'!E39+'май факт'!E39+'июнь факт '!E39</f>
        <v>0</v>
      </c>
      <c r="F39" s="17">
        <f>'апрель факт'!F39+'май факт'!F39+'июнь факт '!F39</f>
        <v>35.475</v>
      </c>
    </row>
    <row r="40" spans="1:6" s="2" customFormat="1" ht="42" customHeight="1">
      <c r="A40" s="75" t="s">
        <v>26</v>
      </c>
      <c r="B40" s="5">
        <f>C40+D40+E40+F40</f>
        <v>183.463</v>
      </c>
      <c r="C40" s="15">
        <f>C41+C42</f>
        <v>2.26</v>
      </c>
      <c r="D40" s="15">
        <f>D41+D42</f>
        <v>0</v>
      </c>
      <c r="E40" s="15">
        <f>E41+E42</f>
        <v>181.203</v>
      </c>
      <c r="F40" s="16">
        <f>F41+F42</f>
        <v>0</v>
      </c>
    </row>
    <row r="41" spans="1:6" s="2" customFormat="1" ht="19.5" customHeight="1">
      <c r="A41" s="18" t="s">
        <v>13</v>
      </c>
      <c r="B41" s="5">
        <f aca="true" t="shared" si="1" ref="B41:B79">C41+D41+E41+F41</f>
        <v>183.463</v>
      </c>
      <c r="C41" s="8">
        <f>'апрель факт'!C41+'май факт'!C41+'июнь факт '!C41</f>
        <v>2.26</v>
      </c>
      <c r="D41" s="8">
        <f>'апрель факт'!D41+'май факт'!D41+'июнь факт '!D41</f>
        <v>0</v>
      </c>
      <c r="E41" s="8">
        <f>'апрель факт'!E41+'май факт'!E41+'июнь факт '!E41</f>
        <v>181.203</v>
      </c>
      <c r="F41" s="9">
        <f>'апрель факт'!F41+'май факт'!F41+'июнь факт '!F41</f>
        <v>0</v>
      </c>
    </row>
    <row r="42" spans="1:6" s="2" customFormat="1" ht="19.5" customHeight="1">
      <c r="A42" s="18" t="s">
        <v>10</v>
      </c>
      <c r="B42" s="5">
        <f t="shared" si="1"/>
        <v>0</v>
      </c>
      <c r="C42" s="8">
        <f>C43+C44</f>
        <v>0</v>
      </c>
      <c r="D42" s="15">
        <f>D43+D44</f>
        <v>0</v>
      </c>
      <c r="E42" s="15">
        <f>E43+E44</f>
        <v>0</v>
      </c>
      <c r="F42" s="16">
        <f>F43+F44</f>
        <v>0</v>
      </c>
    </row>
    <row r="43" spans="1:6" s="2" customFormat="1" ht="19.5" customHeight="1">
      <c r="A43" s="18" t="s">
        <v>11</v>
      </c>
      <c r="B43" s="5">
        <f t="shared" si="1"/>
        <v>0</v>
      </c>
      <c r="C43" s="10">
        <f>'апрель факт'!C43+'май факт'!C43+'июнь факт '!C43</f>
        <v>0</v>
      </c>
      <c r="D43" s="10">
        <f>'апрель факт'!D43+'май факт'!D43+'июнь факт '!D43</f>
        <v>0</v>
      </c>
      <c r="E43" s="10">
        <f>'апрель факт'!E43+'май факт'!E43+'июнь факт '!E43</f>
        <v>0</v>
      </c>
      <c r="F43" s="17">
        <f>'апрель факт'!F43+'май факт'!F43+'июнь факт '!F43</f>
        <v>0</v>
      </c>
    </row>
    <row r="44" spans="1:6" s="2" customFormat="1" ht="19.5" customHeight="1">
      <c r="A44" s="18" t="s">
        <v>12</v>
      </c>
      <c r="B44" s="5">
        <f t="shared" si="1"/>
        <v>0</v>
      </c>
      <c r="C44" s="10">
        <f>'апрель факт'!C44+'май факт'!C44+'июнь факт '!C44</f>
        <v>0</v>
      </c>
      <c r="D44" s="10">
        <f>'апрель факт'!D44+'май факт'!D44+'июнь факт '!D44</f>
        <v>0</v>
      </c>
      <c r="E44" s="10">
        <f>'апрель факт'!E44+'май факт'!E44+'июнь факт '!E44</f>
        <v>0</v>
      </c>
      <c r="F44" s="17">
        <f>'апрель факт'!F44+'май факт'!F44+'июнь факт '!F44</f>
        <v>0</v>
      </c>
    </row>
    <row r="45" spans="1:6" s="2" customFormat="1" ht="24.75" customHeight="1">
      <c r="A45" s="31" t="s">
        <v>29</v>
      </c>
      <c r="B45" s="5">
        <f t="shared" si="1"/>
        <v>1179.082</v>
      </c>
      <c r="C45" s="15">
        <f>C46+C47</f>
        <v>0</v>
      </c>
      <c r="D45" s="15">
        <f>D46+D47</f>
        <v>0</v>
      </c>
      <c r="E45" s="15">
        <f>E46+E47</f>
        <v>950.008</v>
      </c>
      <c r="F45" s="16">
        <f>F46+F47</f>
        <v>229.07399999999998</v>
      </c>
    </row>
    <row r="46" spans="1:6" s="2" customFormat="1" ht="24.75" customHeight="1">
      <c r="A46" s="18" t="s">
        <v>13</v>
      </c>
      <c r="B46" s="5">
        <f t="shared" si="1"/>
        <v>1179.082</v>
      </c>
      <c r="C46" s="8">
        <f>'апрель факт'!C46+'май факт'!C46+'июнь факт '!C46</f>
        <v>0</v>
      </c>
      <c r="D46" s="8">
        <f>'апрель факт'!D46+'май факт'!D46+'июнь факт '!D46</f>
        <v>0</v>
      </c>
      <c r="E46" s="8">
        <f>'апрель факт'!E46+'май факт'!E46+'июнь факт '!E46</f>
        <v>950.008</v>
      </c>
      <c r="F46" s="9">
        <f>'апрель факт'!F46+'май факт'!F46+'июнь факт '!F46</f>
        <v>229.07399999999998</v>
      </c>
    </row>
    <row r="47" spans="1:6" s="2" customFormat="1" ht="24.75" customHeight="1">
      <c r="A47" s="18" t="s">
        <v>10</v>
      </c>
      <c r="B47" s="5">
        <f t="shared" si="1"/>
        <v>0</v>
      </c>
      <c r="C47" s="8">
        <f>C48+C49</f>
        <v>0</v>
      </c>
      <c r="D47" s="15">
        <f>D48+D49</f>
        <v>0</v>
      </c>
      <c r="E47" s="15">
        <f>E48+E49</f>
        <v>0</v>
      </c>
      <c r="F47" s="16">
        <f>F48+F49</f>
        <v>0</v>
      </c>
    </row>
    <row r="48" spans="1:6" s="2" customFormat="1" ht="24.75" customHeight="1">
      <c r="A48" s="18" t="s">
        <v>11</v>
      </c>
      <c r="B48" s="5">
        <f t="shared" si="1"/>
        <v>0</v>
      </c>
      <c r="C48" s="10">
        <f>'апрель факт'!C48+'май факт'!C48+'июнь факт '!C48</f>
        <v>0</v>
      </c>
      <c r="D48" s="10">
        <f>'апрель факт'!D48+'май факт'!D48+'июнь факт '!D48</f>
        <v>0</v>
      </c>
      <c r="E48" s="10">
        <f>'апрель факт'!E48+'май факт'!E48+'июнь факт '!E48</f>
        <v>0</v>
      </c>
      <c r="F48" s="17">
        <f>'апрель факт'!F48+'май факт'!F48+'июнь факт '!F48</f>
        <v>0</v>
      </c>
    </row>
    <row r="49" spans="1:6" s="2" customFormat="1" ht="24.75" customHeight="1">
      <c r="A49" s="18" t="s">
        <v>12</v>
      </c>
      <c r="B49" s="5">
        <f t="shared" si="1"/>
        <v>0</v>
      </c>
      <c r="C49" s="10">
        <f>'апрель факт'!C49+'май факт'!C49+'июнь факт '!C49</f>
        <v>0</v>
      </c>
      <c r="D49" s="10">
        <f>'апрель факт'!D49+'май факт'!D49+'июнь факт '!D49</f>
        <v>0</v>
      </c>
      <c r="E49" s="10">
        <f>'апрель факт'!E49+'май факт'!E49+'июнь факт '!E49</f>
        <v>0</v>
      </c>
      <c r="F49" s="17">
        <f>'апрель факт'!F49+'май факт'!F49+'июнь факт '!F49</f>
        <v>0</v>
      </c>
    </row>
    <row r="50" spans="1:6" s="2" customFormat="1" ht="24.75" customHeight="1">
      <c r="A50" s="31" t="s">
        <v>4</v>
      </c>
      <c r="B50" s="5">
        <f t="shared" si="1"/>
        <v>2036.7220000000002</v>
      </c>
      <c r="C50" s="15">
        <f>C51+C52</f>
        <v>2036.7220000000002</v>
      </c>
      <c r="D50" s="15">
        <f>D51+D52</f>
        <v>0</v>
      </c>
      <c r="E50" s="15">
        <f>E51+E52</f>
        <v>0</v>
      </c>
      <c r="F50" s="16">
        <f>F51+F52</f>
        <v>0</v>
      </c>
    </row>
    <row r="51" spans="1:6" s="2" customFormat="1" ht="24.75" customHeight="1">
      <c r="A51" s="18" t="s">
        <v>13</v>
      </c>
      <c r="B51" s="5">
        <f t="shared" si="1"/>
        <v>2036.7220000000002</v>
      </c>
      <c r="C51" s="8">
        <f>'апрель факт'!C51+'май факт'!C51+'июнь факт '!C51</f>
        <v>2036.7220000000002</v>
      </c>
      <c r="D51" s="8">
        <f>'апрель факт'!D51+'май факт'!D51+'июнь факт '!D51</f>
        <v>0</v>
      </c>
      <c r="E51" s="8">
        <f>'апрель факт'!E51+'май факт'!E51+'июнь факт '!E51</f>
        <v>0</v>
      </c>
      <c r="F51" s="9">
        <f>'апрель факт'!F51+'май факт'!F51+'июнь факт '!F51</f>
        <v>0</v>
      </c>
    </row>
    <row r="52" spans="1:6" s="2" customFormat="1" ht="24.75" customHeight="1">
      <c r="A52" s="18" t="s">
        <v>10</v>
      </c>
      <c r="B52" s="5">
        <f t="shared" si="1"/>
        <v>0</v>
      </c>
      <c r="C52" s="8">
        <f>C53+C54</f>
        <v>0</v>
      </c>
      <c r="D52" s="15">
        <f>D53+D54</f>
        <v>0</v>
      </c>
      <c r="E52" s="15">
        <f>E53+E54</f>
        <v>0</v>
      </c>
      <c r="F52" s="16">
        <f>F53+F54</f>
        <v>0</v>
      </c>
    </row>
    <row r="53" spans="1:6" s="2" customFormat="1" ht="24.75" customHeight="1">
      <c r="A53" s="18" t="s">
        <v>11</v>
      </c>
      <c r="B53" s="5">
        <f t="shared" si="1"/>
        <v>0</v>
      </c>
      <c r="C53" s="10">
        <f>'апрель факт'!C53+'май факт'!C53+'июнь факт '!C53</f>
        <v>0</v>
      </c>
      <c r="D53" s="10">
        <f>'апрель факт'!D53+'май факт'!D53+'июнь факт '!D53</f>
        <v>0</v>
      </c>
      <c r="E53" s="10">
        <f>'апрель факт'!E53+'май факт'!E53+'июнь факт '!E53</f>
        <v>0</v>
      </c>
      <c r="F53" s="17">
        <f>'апрель факт'!F53+'май факт'!F53+'июнь факт '!F53</f>
        <v>0</v>
      </c>
    </row>
    <row r="54" spans="1:6" s="2" customFormat="1" ht="24.75" customHeight="1">
      <c r="A54" s="18" t="s">
        <v>12</v>
      </c>
      <c r="B54" s="5">
        <f t="shared" si="1"/>
        <v>0</v>
      </c>
      <c r="C54" s="10">
        <f>'апрель факт'!C54+'май факт'!C54+'июнь факт '!C54</f>
        <v>0</v>
      </c>
      <c r="D54" s="10">
        <f>'апрель факт'!D54+'май факт'!D54+'июнь факт '!D54</f>
        <v>0</v>
      </c>
      <c r="E54" s="10">
        <f>'апрель факт'!E54+'май факт'!E54+'июнь факт '!E54</f>
        <v>0</v>
      </c>
      <c r="F54" s="17">
        <f>'апрель факт'!F54+'май факт'!F54+'июнь факт '!F54</f>
        <v>0</v>
      </c>
    </row>
    <row r="55" spans="1:6" s="2" customFormat="1" ht="50.25" customHeight="1">
      <c r="A55" s="75" t="s">
        <v>62</v>
      </c>
      <c r="B55" s="5">
        <f t="shared" si="1"/>
        <v>2122.855</v>
      </c>
      <c r="C55" s="15">
        <f>C56+C57</f>
        <v>0</v>
      </c>
      <c r="D55" s="15">
        <f>D56+D57</f>
        <v>0</v>
      </c>
      <c r="E55" s="15">
        <f>E56+E57</f>
        <v>858.3629999999999</v>
      </c>
      <c r="F55" s="16">
        <f>F56+F57</f>
        <v>1264.492</v>
      </c>
    </row>
    <row r="56" spans="1:6" s="2" customFormat="1" ht="26.25" customHeight="1">
      <c r="A56" s="18" t="s">
        <v>13</v>
      </c>
      <c r="B56" s="5">
        <f t="shared" si="1"/>
        <v>1179.59</v>
      </c>
      <c r="C56" s="8">
        <f>'апрель факт'!C56+'май факт'!C56+'июнь факт '!C56</f>
        <v>0</v>
      </c>
      <c r="D56" s="8">
        <f>'апрель факт'!D56+'май факт'!D56+'июнь факт '!D56</f>
        <v>0</v>
      </c>
      <c r="E56" s="8">
        <f>'апрель факт'!E56+'май факт'!E56+'июнь факт '!E56</f>
        <v>858.3629999999999</v>
      </c>
      <c r="F56" s="9">
        <f>'апрель факт'!F56+'май факт'!F56+'июнь факт '!F56</f>
        <v>321.227</v>
      </c>
    </row>
    <row r="57" spans="1:6" s="2" customFormat="1" ht="26.25" customHeight="1">
      <c r="A57" s="18" t="s">
        <v>10</v>
      </c>
      <c r="B57" s="5">
        <f t="shared" si="1"/>
        <v>943.265</v>
      </c>
      <c r="C57" s="8">
        <f>C58+C59</f>
        <v>0</v>
      </c>
      <c r="D57" s="15">
        <f>D58+D59</f>
        <v>0</v>
      </c>
      <c r="E57" s="15">
        <f>E58+E59</f>
        <v>0</v>
      </c>
      <c r="F57" s="16">
        <f>F58+F59</f>
        <v>943.265</v>
      </c>
    </row>
    <row r="58" spans="1:6" s="2" customFormat="1" ht="26.25" customHeight="1">
      <c r="A58" s="18" t="s">
        <v>11</v>
      </c>
      <c r="B58" s="5">
        <f t="shared" si="1"/>
        <v>819.655</v>
      </c>
      <c r="C58" s="10">
        <f>'апрель факт'!C58+'май факт'!C58+'июнь факт '!C58</f>
        <v>0</v>
      </c>
      <c r="D58" s="10">
        <f>'апрель факт'!D58+'май факт'!D58+'июнь факт '!D58</f>
        <v>0</v>
      </c>
      <c r="E58" s="10">
        <f>'апрель факт'!E58+'май факт'!E58+'июнь факт '!E58</f>
        <v>0</v>
      </c>
      <c r="F58" s="17">
        <f>'апрель факт'!F58+'май факт'!F58+'июнь факт '!F58</f>
        <v>819.655</v>
      </c>
    </row>
    <row r="59" spans="1:6" s="2" customFormat="1" ht="26.25" customHeight="1">
      <c r="A59" s="18" t="s">
        <v>12</v>
      </c>
      <c r="B59" s="5">
        <f t="shared" si="1"/>
        <v>123.61</v>
      </c>
      <c r="C59" s="10">
        <f>'апрель факт'!C59+'май факт'!C59+'июнь факт '!C59</f>
        <v>0</v>
      </c>
      <c r="D59" s="10">
        <f>'апрель факт'!D59+'май факт'!D59+'июнь факт '!D59</f>
        <v>0</v>
      </c>
      <c r="E59" s="10">
        <f>'апрель факт'!E59+'май факт'!E59+'июнь факт '!E59</f>
        <v>0</v>
      </c>
      <c r="F59" s="17">
        <f>'апрель факт'!F59+'май факт'!F59+'июнь факт '!F59</f>
        <v>123.61</v>
      </c>
    </row>
    <row r="60" spans="1:6" s="2" customFormat="1" ht="24.75" customHeight="1">
      <c r="A60" s="75" t="s">
        <v>28</v>
      </c>
      <c r="B60" s="5">
        <f t="shared" si="1"/>
        <v>5635.179999999999</v>
      </c>
      <c r="C60" s="15">
        <f>C61+C62</f>
        <v>5607.98</v>
      </c>
      <c r="D60" s="15">
        <f>D61+D62</f>
        <v>0</v>
      </c>
      <c r="E60" s="15">
        <f>E61+E62</f>
        <v>0</v>
      </c>
      <c r="F60" s="16">
        <f>F61+F62</f>
        <v>27.200000000000003</v>
      </c>
    </row>
    <row r="61" spans="1:6" s="2" customFormat="1" ht="21.75" customHeight="1">
      <c r="A61" s="18" t="s">
        <v>13</v>
      </c>
      <c r="B61" s="5">
        <f t="shared" si="1"/>
        <v>5635.179999999999</v>
      </c>
      <c r="C61" s="8">
        <f>'апрель факт'!C61+'май факт'!C61+'июнь факт '!C61</f>
        <v>5607.98</v>
      </c>
      <c r="D61" s="8">
        <f>'апрель факт'!D61+'май факт'!D61+'июнь факт '!D61</f>
        <v>0</v>
      </c>
      <c r="E61" s="8">
        <f>'апрель факт'!E61+'май факт'!E61+'июнь факт '!E61</f>
        <v>0</v>
      </c>
      <c r="F61" s="9">
        <f>'апрель факт'!F61+'май факт'!F61+'июнь факт '!F61</f>
        <v>27.200000000000003</v>
      </c>
    </row>
    <row r="62" spans="1:6" s="2" customFormat="1" ht="16.5" customHeight="1">
      <c r="A62" s="18" t="s">
        <v>10</v>
      </c>
      <c r="B62" s="5">
        <f t="shared" si="1"/>
        <v>0</v>
      </c>
      <c r="C62" s="8">
        <f>C63+C64</f>
        <v>0</v>
      </c>
      <c r="D62" s="15">
        <f>D63+D64</f>
        <v>0</v>
      </c>
      <c r="E62" s="15">
        <f>E63+E64</f>
        <v>0</v>
      </c>
      <c r="F62" s="16">
        <f>F63+F64</f>
        <v>0</v>
      </c>
    </row>
    <row r="63" spans="1:6" s="2" customFormat="1" ht="18" customHeight="1">
      <c r="A63" s="18" t="s">
        <v>11</v>
      </c>
      <c r="B63" s="5">
        <f t="shared" si="1"/>
        <v>0</v>
      </c>
      <c r="C63" s="10">
        <f>'апрель факт'!C63+'май факт'!C63+'июнь факт '!C63</f>
        <v>0</v>
      </c>
      <c r="D63" s="10">
        <f>'апрель факт'!D63+'май факт'!D63+'июнь факт '!D63</f>
        <v>0</v>
      </c>
      <c r="E63" s="10">
        <f>'апрель факт'!E63+'май факт'!E63+'июнь факт '!E63</f>
        <v>0</v>
      </c>
      <c r="F63" s="17">
        <f>'апрель факт'!F63+'май факт'!F63+'июнь факт '!F63</f>
        <v>0</v>
      </c>
    </row>
    <row r="64" spans="1:6" s="2" customFormat="1" ht="18" customHeight="1">
      <c r="A64" s="18" t="s">
        <v>12</v>
      </c>
      <c r="B64" s="5">
        <f t="shared" si="1"/>
        <v>0</v>
      </c>
      <c r="C64" s="10">
        <f>'апрель факт'!C64+'май факт'!C64+'июнь факт '!C64</f>
        <v>0</v>
      </c>
      <c r="D64" s="10">
        <f>'апрель факт'!D64+'май факт'!D64+'июнь факт '!D64</f>
        <v>0</v>
      </c>
      <c r="E64" s="10">
        <f>'апрель факт'!E64+'май факт'!E64+'июнь факт '!E64</f>
        <v>0</v>
      </c>
      <c r="F64" s="17">
        <f>'апрель факт'!F64+'май факт'!F64+'июнь факт '!F64</f>
        <v>0</v>
      </c>
    </row>
    <row r="65" spans="1:6" s="2" customFormat="1" ht="24.75" customHeight="1">
      <c r="A65" s="75" t="s">
        <v>63</v>
      </c>
      <c r="B65" s="5">
        <f t="shared" si="1"/>
        <v>0</v>
      </c>
      <c r="C65" s="15">
        <f>C66+C67</f>
        <v>0</v>
      </c>
      <c r="D65" s="15">
        <f>D66+D67</f>
        <v>0</v>
      </c>
      <c r="E65" s="15">
        <f>E66+E67</f>
        <v>0</v>
      </c>
      <c r="F65" s="16">
        <f>F66+F67</f>
        <v>0</v>
      </c>
    </row>
    <row r="66" spans="1:6" s="2" customFormat="1" ht="21.75" customHeight="1">
      <c r="A66" s="18" t="s">
        <v>13</v>
      </c>
      <c r="B66" s="5">
        <f t="shared" si="1"/>
        <v>0</v>
      </c>
      <c r="C66" s="8">
        <f>'апрель факт'!C66+'май факт'!C66+'июнь факт '!C66</f>
        <v>0</v>
      </c>
      <c r="D66" s="8">
        <f>'апрель факт'!D66+'май факт'!D66+'июнь факт '!D66</f>
        <v>0</v>
      </c>
      <c r="E66" s="8">
        <f>'апрель факт'!E66+'май факт'!E66+'июнь факт '!E66</f>
        <v>0</v>
      </c>
      <c r="F66" s="9">
        <f>'апрель факт'!F66+'май факт'!F66+'июнь факт '!F66</f>
        <v>0</v>
      </c>
    </row>
    <row r="67" spans="1:6" s="2" customFormat="1" ht="18" customHeight="1">
      <c r="A67" s="18" t="s">
        <v>10</v>
      </c>
      <c r="B67" s="5">
        <f t="shared" si="1"/>
        <v>0</v>
      </c>
      <c r="C67" s="8">
        <f>C68+C69</f>
        <v>0</v>
      </c>
      <c r="D67" s="15">
        <f>D68+D69</f>
        <v>0</v>
      </c>
      <c r="E67" s="15">
        <f>E68+E69</f>
        <v>0</v>
      </c>
      <c r="F67" s="16">
        <f>F68+F69</f>
        <v>0</v>
      </c>
    </row>
    <row r="68" spans="1:6" s="2" customFormat="1" ht="19.5" customHeight="1">
      <c r="A68" s="18" t="s">
        <v>11</v>
      </c>
      <c r="B68" s="5">
        <f t="shared" si="1"/>
        <v>0</v>
      </c>
      <c r="C68" s="10">
        <f>'апрель факт'!C68+'май факт'!C68+'июнь факт '!C68</f>
        <v>0</v>
      </c>
      <c r="D68" s="10">
        <f>'апрель факт'!D68+'май факт'!D68+'июнь факт '!D68</f>
        <v>0</v>
      </c>
      <c r="E68" s="10">
        <f>'апрель факт'!E68+'май факт'!E68+'июнь факт '!E68</f>
        <v>0</v>
      </c>
      <c r="F68" s="17">
        <f>'апрель факт'!F68+'май факт'!F68+'июнь факт '!F68</f>
        <v>0</v>
      </c>
    </row>
    <row r="69" spans="1:6" s="2" customFormat="1" ht="19.5" customHeight="1">
      <c r="A69" s="18" t="s">
        <v>12</v>
      </c>
      <c r="B69" s="5">
        <f t="shared" si="1"/>
        <v>0</v>
      </c>
      <c r="C69" s="10">
        <f>'апрель факт'!C69+'май факт'!C69+'июнь факт '!C69</f>
        <v>0</v>
      </c>
      <c r="D69" s="10">
        <f>'апрель факт'!D69+'май факт'!D69+'июнь факт '!D69</f>
        <v>0</v>
      </c>
      <c r="E69" s="10">
        <f>'апрель факт'!E69+'май факт'!E69+'июнь факт '!E69</f>
        <v>0</v>
      </c>
      <c r="F69" s="17">
        <f>'апрель факт'!F69+'май факт'!F69+'июнь факт '!F69</f>
        <v>0</v>
      </c>
    </row>
    <row r="70" spans="1:6" s="38" customFormat="1" ht="23.25" customHeight="1">
      <c r="A70" s="75" t="s">
        <v>25</v>
      </c>
      <c r="B70" s="5">
        <f t="shared" si="1"/>
        <v>180.673</v>
      </c>
      <c r="C70" s="15">
        <f>C71+C72</f>
        <v>0</v>
      </c>
      <c r="D70" s="15">
        <f>D71+D72</f>
        <v>0</v>
      </c>
      <c r="E70" s="15">
        <f>E71+E72</f>
        <v>0</v>
      </c>
      <c r="F70" s="16">
        <f>F71+F72</f>
        <v>180.673</v>
      </c>
    </row>
    <row r="71" spans="1:6" s="38" customFormat="1" ht="23.25" customHeight="1">
      <c r="A71" s="18" t="s">
        <v>13</v>
      </c>
      <c r="B71" s="5">
        <f t="shared" si="1"/>
        <v>26.46</v>
      </c>
      <c r="C71" s="8">
        <f>'апрель факт'!C71+'май факт'!C71+'июнь факт '!C71</f>
        <v>0</v>
      </c>
      <c r="D71" s="8">
        <f>'апрель факт'!D71+'май факт'!D71+'июнь факт '!D71</f>
        <v>0</v>
      </c>
      <c r="E71" s="8">
        <f>'апрель факт'!E71+'май факт'!E71+'июнь факт '!E71</f>
        <v>0</v>
      </c>
      <c r="F71" s="9">
        <f>'апрель факт'!F71+'май факт'!F71+'июнь факт '!F71</f>
        <v>26.46</v>
      </c>
    </row>
    <row r="72" spans="1:6" s="38" customFormat="1" ht="23.25" customHeight="1">
      <c r="A72" s="18" t="s">
        <v>10</v>
      </c>
      <c r="B72" s="5">
        <f t="shared" si="1"/>
        <v>154.213</v>
      </c>
      <c r="C72" s="8">
        <f>C73+C74</f>
        <v>0</v>
      </c>
      <c r="D72" s="15">
        <f>D73+D74</f>
        <v>0</v>
      </c>
      <c r="E72" s="15">
        <f>E73+E74</f>
        <v>0</v>
      </c>
      <c r="F72" s="16">
        <f>F73+F74</f>
        <v>154.213</v>
      </c>
    </row>
    <row r="73" spans="1:6" s="38" customFormat="1" ht="23.25" customHeight="1">
      <c r="A73" s="18" t="s">
        <v>11</v>
      </c>
      <c r="B73" s="5">
        <f t="shared" si="1"/>
        <v>154.213</v>
      </c>
      <c r="C73" s="10">
        <f>'апрель факт'!C73+'май факт'!C73+'июнь факт '!C73</f>
        <v>0</v>
      </c>
      <c r="D73" s="10">
        <f>'апрель факт'!D73+'май факт'!D73+'июнь факт '!D73</f>
        <v>0</v>
      </c>
      <c r="E73" s="10">
        <f>'апрель факт'!E73+'май факт'!E73+'июнь факт '!E73</f>
        <v>0</v>
      </c>
      <c r="F73" s="17">
        <f>'апрель факт'!F73+'май факт'!F73+'июнь факт '!F73</f>
        <v>154.213</v>
      </c>
    </row>
    <row r="74" spans="1:6" s="38" customFormat="1" ht="23.25" customHeight="1">
      <c r="A74" s="18" t="s">
        <v>12</v>
      </c>
      <c r="B74" s="5">
        <f t="shared" si="1"/>
        <v>0</v>
      </c>
      <c r="C74" s="10">
        <f>'апрель факт'!C74+'май факт'!C74+'июнь факт '!C74</f>
        <v>0</v>
      </c>
      <c r="D74" s="10">
        <f>'апрель факт'!D74+'май факт'!D74+'июнь факт '!D74</f>
        <v>0</v>
      </c>
      <c r="E74" s="10">
        <f>'апрель факт'!E74+'май факт'!E74+'июнь факт '!E74</f>
        <v>0</v>
      </c>
      <c r="F74" s="17">
        <f>'апрель факт'!F74+'май факт'!F74+'июнь факт '!F74</f>
        <v>0</v>
      </c>
    </row>
    <row r="75" spans="1:6" s="38" customFormat="1" ht="33" customHeight="1">
      <c r="A75" s="75" t="s">
        <v>64</v>
      </c>
      <c r="B75" s="5">
        <f t="shared" si="1"/>
        <v>664.717</v>
      </c>
      <c r="C75" s="15">
        <f>C76+C77</f>
        <v>0</v>
      </c>
      <c r="D75" s="15">
        <f>D76+D77</f>
        <v>0</v>
      </c>
      <c r="E75" s="15">
        <f>E76+E77</f>
        <v>42.482</v>
      </c>
      <c r="F75" s="16">
        <f>F76+F77</f>
        <v>622.235</v>
      </c>
    </row>
    <row r="76" spans="1:6" s="38" customFormat="1" ht="38.25" customHeight="1">
      <c r="A76" s="18" t="s">
        <v>13</v>
      </c>
      <c r="B76" s="5">
        <f t="shared" si="1"/>
        <v>188.01</v>
      </c>
      <c r="C76" s="8">
        <f>'апрель факт'!C76+'май факт'!C76+'июнь факт '!C76</f>
        <v>0</v>
      </c>
      <c r="D76" s="8">
        <f>'апрель факт'!D76+'май факт'!D76+'июнь факт '!D76</f>
        <v>0</v>
      </c>
      <c r="E76" s="8">
        <f>'апрель факт'!E76+'май факт'!E76+'июнь факт '!E76</f>
        <v>42.482</v>
      </c>
      <c r="F76" s="9">
        <f>'апрель факт'!F76+'май факт'!F76+'июнь факт '!F76</f>
        <v>145.528</v>
      </c>
    </row>
    <row r="77" spans="1:6" s="3" customFormat="1" ht="42" customHeight="1">
      <c r="A77" s="18" t="s">
        <v>10</v>
      </c>
      <c r="B77" s="5">
        <f t="shared" si="1"/>
        <v>476.70700000000005</v>
      </c>
      <c r="C77" s="8">
        <f>C78+C79</f>
        <v>0</v>
      </c>
      <c r="D77" s="15">
        <f>D78+D79</f>
        <v>0</v>
      </c>
      <c r="E77" s="15">
        <f>E78+E79</f>
        <v>0</v>
      </c>
      <c r="F77" s="16">
        <f>F78+F79</f>
        <v>476.70700000000005</v>
      </c>
    </row>
    <row r="78" spans="1:6" s="3" customFormat="1" ht="18.75">
      <c r="A78" s="18" t="s">
        <v>11</v>
      </c>
      <c r="B78" s="5">
        <f t="shared" si="1"/>
        <v>164.454</v>
      </c>
      <c r="C78" s="10">
        <f>'апрель факт'!C78+'май факт'!C78+'июнь факт '!C78</f>
        <v>0</v>
      </c>
      <c r="D78" s="10">
        <f>'апрель факт'!D78+'май факт'!D78+'июнь факт '!D78</f>
        <v>0</v>
      </c>
      <c r="E78" s="10">
        <f>'апрель факт'!E78+'май факт'!E78+'июнь факт '!E78</f>
        <v>0</v>
      </c>
      <c r="F78" s="17">
        <f>'апрель факт'!F78+'май факт'!F78+'июнь факт '!F78</f>
        <v>164.454</v>
      </c>
    </row>
    <row r="79" spans="1:6" ht="18.75">
      <c r="A79" s="18" t="s">
        <v>12</v>
      </c>
      <c r="B79" s="5">
        <f t="shared" si="1"/>
        <v>312.25300000000004</v>
      </c>
      <c r="C79" s="10">
        <f>'апрель факт'!C79+'май факт'!C79+'июнь факт '!C79</f>
        <v>0</v>
      </c>
      <c r="D79" s="10">
        <f>'апрель факт'!D79+'май факт'!D79+'июнь факт '!D79</f>
        <v>0</v>
      </c>
      <c r="E79" s="10">
        <f>'апрель факт'!E79+'май факт'!E79+'июнь факт '!E79</f>
        <v>0</v>
      </c>
      <c r="F79" s="17">
        <f>'апрель факт'!F79+'май факт'!F79+'июнь факт '!F79</f>
        <v>312.25300000000004</v>
      </c>
    </row>
    <row r="80" spans="1:6" ht="18">
      <c r="A80" s="75" t="s">
        <v>8</v>
      </c>
      <c r="B80" s="5">
        <f>C80+D80+E80+F80</f>
        <v>2915.705</v>
      </c>
      <c r="C80" s="15">
        <f>C81+C82</f>
        <v>0</v>
      </c>
      <c r="D80" s="15">
        <f>D81+D82</f>
        <v>0</v>
      </c>
      <c r="E80" s="15">
        <f>E81+E82</f>
        <v>1431.258</v>
      </c>
      <c r="F80" s="16">
        <f>F81+F82</f>
        <v>1484.4470000000001</v>
      </c>
    </row>
    <row r="81" spans="1:6" ht="18.75">
      <c r="A81" s="18" t="s">
        <v>13</v>
      </c>
      <c r="B81" s="5">
        <f aca="true" t="shared" si="2" ref="B81:B100">C81+D81+E81+F81</f>
        <v>1348.373</v>
      </c>
      <c r="C81" s="8">
        <f>'апрель факт'!C81+'май факт'!C81+'июнь факт '!C81</f>
        <v>0</v>
      </c>
      <c r="D81" s="8">
        <f>'апрель факт'!D81+'май факт'!D81+'июнь факт '!D81</f>
        <v>0</v>
      </c>
      <c r="E81" s="8">
        <f>'апрель факт'!E81+'май факт'!E81+'июнь факт '!E81</f>
        <v>1060.65</v>
      </c>
      <c r="F81" s="9">
        <f>'апрель факт'!F81+'май факт'!F81+'июнь факт '!F81</f>
        <v>287.723</v>
      </c>
    </row>
    <row r="82" spans="1:6" ht="18.75">
      <c r="A82" s="18" t="s">
        <v>10</v>
      </c>
      <c r="B82" s="5">
        <f t="shared" si="2"/>
        <v>1567.332</v>
      </c>
      <c r="C82" s="8">
        <f>C83+C84</f>
        <v>0</v>
      </c>
      <c r="D82" s="15">
        <f>D83+D84</f>
        <v>0</v>
      </c>
      <c r="E82" s="15">
        <f>E83+E84</f>
        <v>370.608</v>
      </c>
      <c r="F82" s="16">
        <f>F83+F84</f>
        <v>1196.7240000000002</v>
      </c>
    </row>
    <row r="83" spans="1:6" ht="18.75">
      <c r="A83" s="18" t="s">
        <v>11</v>
      </c>
      <c r="B83" s="5">
        <f t="shared" si="2"/>
        <v>1268.726</v>
      </c>
      <c r="C83" s="10">
        <f>'апрель факт'!C83+'май факт'!C83+'июнь факт '!C83</f>
        <v>0</v>
      </c>
      <c r="D83" s="10">
        <f>'апрель факт'!D83+'май факт'!D83+'июнь факт '!D83</f>
        <v>0</v>
      </c>
      <c r="E83" s="10">
        <f>'апрель факт'!E83+'май факт'!E83+'июнь факт '!E83</f>
        <v>365.469</v>
      </c>
      <c r="F83" s="17">
        <f>'апрель факт'!F83+'май факт'!F83+'июнь факт '!F83</f>
        <v>903.2570000000001</v>
      </c>
    </row>
    <row r="84" spans="1:6" ht="18.75">
      <c r="A84" s="18" t="s">
        <v>12</v>
      </c>
      <c r="B84" s="5">
        <f t="shared" si="2"/>
        <v>298.606</v>
      </c>
      <c r="C84" s="10">
        <f>'апрель факт'!C84+'май факт'!C84+'июнь факт '!C84</f>
        <v>0</v>
      </c>
      <c r="D84" s="10">
        <f>'апрель факт'!D84+'май факт'!D84+'июнь факт '!D84</f>
        <v>0</v>
      </c>
      <c r="E84" s="10">
        <f>'апрель факт'!E84+'май факт'!E84+'июнь факт '!E84</f>
        <v>5.139</v>
      </c>
      <c r="F84" s="17">
        <f>'апрель факт'!F84+'май факт'!F84+'июнь факт '!F84</f>
        <v>293.467</v>
      </c>
    </row>
    <row r="85" spans="1:6" ht="18">
      <c r="A85" s="75" t="s">
        <v>5</v>
      </c>
      <c r="B85" s="5">
        <f t="shared" si="2"/>
        <v>7751.483</v>
      </c>
      <c r="C85" s="15">
        <f>C86+C87</f>
        <v>1116.737</v>
      </c>
      <c r="D85" s="15">
        <f>D86+D87</f>
        <v>0</v>
      </c>
      <c r="E85" s="15">
        <f>E86+E87</f>
        <v>4058.0389999999998</v>
      </c>
      <c r="F85" s="16">
        <f>F86+F87</f>
        <v>2576.707</v>
      </c>
    </row>
    <row r="86" spans="1:6" ht="18.75">
      <c r="A86" s="18" t="s">
        <v>13</v>
      </c>
      <c r="B86" s="5">
        <f t="shared" si="2"/>
        <v>4749.323</v>
      </c>
      <c r="C86" s="8">
        <f>'апрель факт'!C86+'май факт'!C86+'июнь факт '!C86</f>
        <v>1116.737</v>
      </c>
      <c r="D86" s="8">
        <f>'апрель факт'!D86+'май факт'!D86+'июнь факт '!D86</f>
        <v>0</v>
      </c>
      <c r="E86" s="8">
        <f>'апрель факт'!E86+'май факт'!E86+'июнь факт '!E86</f>
        <v>2533.801</v>
      </c>
      <c r="F86" s="9">
        <f>'апрель факт'!F86+'май факт'!F86+'июнь факт '!F86</f>
        <v>1098.7849999999999</v>
      </c>
    </row>
    <row r="87" spans="1:6" ht="18.75">
      <c r="A87" s="18" t="s">
        <v>10</v>
      </c>
      <c r="B87" s="5">
        <f t="shared" si="2"/>
        <v>3002.16</v>
      </c>
      <c r="C87" s="8">
        <f>C88+C89</f>
        <v>0</v>
      </c>
      <c r="D87" s="15">
        <f>D88+D89</f>
        <v>0</v>
      </c>
      <c r="E87" s="15">
        <f>E88+E89</f>
        <v>1524.238</v>
      </c>
      <c r="F87" s="16">
        <f>F88+F89</f>
        <v>1477.922</v>
      </c>
    </row>
    <row r="88" spans="1:6" ht="18.75">
      <c r="A88" s="18" t="s">
        <v>11</v>
      </c>
      <c r="B88" s="5">
        <f t="shared" si="2"/>
        <v>2988.36</v>
      </c>
      <c r="C88" s="10">
        <f>'апрель факт'!C88+'май факт'!C88+'июнь факт '!C88</f>
        <v>0</v>
      </c>
      <c r="D88" s="10">
        <f>'апрель факт'!D88+'май факт'!D88+'июнь факт '!D88</f>
        <v>0</v>
      </c>
      <c r="E88" s="10">
        <f>'апрель факт'!E88+'май факт'!E88+'июнь факт '!E88</f>
        <v>1510.438</v>
      </c>
      <c r="F88" s="17">
        <f>'апрель факт'!F88+'май факт'!F88+'июнь факт '!F88</f>
        <v>1477.922</v>
      </c>
    </row>
    <row r="89" spans="1:6" ht="18.75">
      <c r="A89" s="18" t="s">
        <v>12</v>
      </c>
      <c r="B89" s="5">
        <f t="shared" si="2"/>
        <v>13.8</v>
      </c>
      <c r="C89" s="10">
        <f>'апрель факт'!C89+'май факт'!C89+'июнь факт '!C89</f>
        <v>0</v>
      </c>
      <c r="D89" s="10">
        <f>'апрель факт'!D89+'май факт'!D89+'июнь факт '!D89</f>
        <v>0</v>
      </c>
      <c r="E89" s="10">
        <f>'апрель факт'!E89+'май факт'!E89+'июнь факт '!E89</f>
        <v>13.8</v>
      </c>
      <c r="F89" s="17">
        <f>'апрель факт'!F89+'май факт'!F89+'июнь факт '!F89</f>
        <v>0</v>
      </c>
    </row>
    <row r="90" spans="1:6" ht="36">
      <c r="A90" s="75" t="s">
        <v>65</v>
      </c>
      <c r="B90" s="5">
        <f t="shared" si="2"/>
        <v>16214.024</v>
      </c>
      <c r="C90" s="15">
        <f>C91+C92</f>
        <v>0</v>
      </c>
      <c r="D90" s="15">
        <f>D91+D92</f>
        <v>0</v>
      </c>
      <c r="E90" s="15">
        <f>E91+E92</f>
        <v>3733.885</v>
      </c>
      <c r="F90" s="16">
        <f>F91+F92</f>
        <v>12480.139</v>
      </c>
    </row>
    <row r="91" spans="1:6" ht="18.75">
      <c r="A91" s="18" t="s">
        <v>13</v>
      </c>
      <c r="B91" s="5">
        <f t="shared" si="2"/>
        <v>7691.389</v>
      </c>
      <c r="C91" s="8">
        <f>'апрель факт'!C91+'май факт'!C91+'июнь факт '!C91</f>
        <v>0</v>
      </c>
      <c r="D91" s="8">
        <f>'апрель факт'!D91+'май факт'!D91+'июнь факт '!D91</f>
        <v>0</v>
      </c>
      <c r="E91" s="8">
        <f>'апрель факт'!E91+'май факт'!E91+'июнь факт '!E91</f>
        <v>3605.454</v>
      </c>
      <c r="F91" s="9">
        <f>'апрель факт'!F91+'май факт'!F91+'июнь факт '!F91</f>
        <v>4085.935</v>
      </c>
    </row>
    <row r="92" spans="1:6" ht="18.75">
      <c r="A92" s="18" t="s">
        <v>10</v>
      </c>
      <c r="B92" s="5">
        <f t="shared" si="2"/>
        <v>8522.635</v>
      </c>
      <c r="C92" s="8">
        <f>C93+C94</f>
        <v>0</v>
      </c>
      <c r="D92" s="15">
        <f>D93+D94</f>
        <v>0</v>
      </c>
      <c r="E92" s="15">
        <f>E93+E94</f>
        <v>128.431</v>
      </c>
      <c r="F92" s="16">
        <f>F93+F94</f>
        <v>8394.204</v>
      </c>
    </row>
    <row r="93" spans="1:6" ht="18.75">
      <c r="A93" s="18" t="s">
        <v>11</v>
      </c>
      <c r="B93" s="5">
        <f t="shared" si="2"/>
        <v>2097.3610000000003</v>
      </c>
      <c r="C93" s="10">
        <f>'апрель факт'!C93+'май факт'!C93+'июнь факт '!C93</f>
        <v>0</v>
      </c>
      <c r="D93" s="10">
        <f>'апрель факт'!D93+'май факт'!D93+'июнь факт '!D93</f>
        <v>0</v>
      </c>
      <c r="E93" s="10">
        <f>'апрель факт'!E93+'май факт'!E93+'июнь факт '!E93</f>
        <v>46.181000000000004</v>
      </c>
      <c r="F93" s="17">
        <f>'апрель факт'!F93+'май факт'!F93+'июнь факт '!F93</f>
        <v>2051.1800000000003</v>
      </c>
    </row>
    <row r="94" spans="1:6" ht="19.5" thickBot="1">
      <c r="A94" s="19" t="s">
        <v>12</v>
      </c>
      <c r="B94" s="34">
        <f t="shared" si="2"/>
        <v>6425.273999999999</v>
      </c>
      <c r="C94" s="24">
        <f>'апрель факт'!C94+'май факт'!C94+'июнь факт '!C94</f>
        <v>0</v>
      </c>
      <c r="D94" s="24">
        <f>'апрель факт'!D94+'май факт'!D94+'июнь факт '!D94</f>
        <v>0</v>
      </c>
      <c r="E94" s="24">
        <f>'апрель факт'!E94+'май факт'!E94+'июнь факт '!E94</f>
        <v>82.25</v>
      </c>
      <c r="F94" s="25">
        <f>'апрель факт'!F94+'май факт'!F94+'июнь факт '!F94</f>
        <v>6343.023999999999</v>
      </c>
    </row>
    <row r="95" spans="1:6" ht="18">
      <c r="A95" s="54" t="s">
        <v>21</v>
      </c>
      <c r="B95" s="76">
        <f t="shared" si="2"/>
        <v>462.05899999999997</v>
      </c>
      <c r="C95" s="128">
        <f>'апрель факт'!C95+'май факт'!C95+'июнь факт '!C95</f>
        <v>0</v>
      </c>
      <c r="D95" s="128">
        <f>'апрель факт'!D95+'май факт'!D95+'июнь факт '!D95</f>
        <v>0</v>
      </c>
      <c r="E95" s="128">
        <f>'апрель факт'!E95+'май факт'!E95+'июнь факт '!E95</f>
        <v>462.05899999999997</v>
      </c>
      <c r="F95" s="129">
        <f>'апрель факт'!F95+'май факт'!F95+'июнь факт '!F95</f>
        <v>0</v>
      </c>
    </row>
    <row r="96" spans="1:6" ht="18">
      <c r="A96" s="31" t="s">
        <v>22</v>
      </c>
      <c r="B96" s="5">
        <f t="shared" si="2"/>
        <v>140.89100000000002</v>
      </c>
      <c r="C96" s="8">
        <f>'апрель факт'!C96+'май факт'!C96+'июнь факт '!C96</f>
        <v>0</v>
      </c>
      <c r="D96" s="8">
        <f>'апрель факт'!D96+'май факт'!D96+'июнь факт '!D96</f>
        <v>0</v>
      </c>
      <c r="E96" s="8">
        <f>'апрель факт'!E96+'май факт'!E96+'июнь факт '!E96</f>
        <v>140.89100000000002</v>
      </c>
      <c r="F96" s="9">
        <f>'апрель факт'!F96+'май факт'!F96+'июнь факт '!F96</f>
        <v>0</v>
      </c>
    </row>
    <row r="97" spans="1:6" ht="18">
      <c r="A97" s="31" t="s">
        <v>27</v>
      </c>
      <c r="B97" s="5">
        <f t="shared" si="2"/>
        <v>1755.8300000000002</v>
      </c>
      <c r="C97" s="8">
        <f>'апрель факт'!C97+'май факт'!C97+'июнь факт '!C97</f>
        <v>0</v>
      </c>
      <c r="D97" s="8">
        <f>'апрель факт'!D97+'май факт'!D97+'июнь факт '!D97</f>
        <v>0</v>
      </c>
      <c r="E97" s="8">
        <f>'апрель факт'!E97+'май факт'!E97+'июнь факт '!E97</f>
        <v>1560.804</v>
      </c>
      <c r="F97" s="9">
        <f>'апрель факт'!F97+'май факт'!F97+'июнь факт '!F97</f>
        <v>195.026</v>
      </c>
    </row>
    <row r="98" spans="1:6" ht="18">
      <c r="A98" s="31" t="s">
        <v>23</v>
      </c>
      <c r="B98" s="5">
        <f t="shared" si="2"/>
        <v>2106.4350000000004</v>
      </c>
      <c r="C98" s="8">
        <f>'апрель факт'!C98+'май факт'!C98+'июнь факт '!C98</f>
        <v>1472.9340000000002</v>
      </c>
      <c r="D98" s="8">
        <f>'апрель факт'!D98+'май факт'!D98+'июнь факт '!D98</f>
        <v>0</v>
      </c>
      <c r="E98" s="8">
        <f>'апрель факт'!E98+'май факт'!E98+'июнь факт '!E98</f>
        <v>279.45799999999997</v>
      </c>
      <c r="F98" s="9">
        <f>'апрель факт'!F98+'май факт'!F98+'июнь факт '!F98</f>
        <v>354.043</v>
      </c>
    </row>
    <row r="99" spans="1:6" ht="36.75" thickBot="1">
      <c r="A99" s="120" t="s">
        <v>24</v>
      </c>
      <c r="B99" s="5">
        <f t="shared" si="2"/>
        <v>1307.7</v>
      </c>
      <c r="C99" s="8">
        <f>'апрель факт'!C99+'май факт'!C99+'июнь факт '!C99</f>
        <v>0</v>
      </c>
      <c r="D99" s="8">
        <f>'апрель факт'!D99+'май факт'!D99+'июнь факт '!D99</f>
        <v>0</v>
      </c>
      <c r="E99" s="8">
        <f>'апрель факт'!E99+'май факт'!E99+'июнь факт '!E99</f>
        <v>1307.7</v>
      </c>
      <c r="F99" s="9">
        <f>'апрель факт'!F99+'май факт'!F99+'июнь факт '!F99</f>
        <v>0</v>
      </c>
    </row>
    <row r="100" spans="1:6" ht="18.75" thickBot="1">
      <c r="A100" s="30" t="s">
        <v>66</v>
      </c>
      <c r="B100" s="50">
        <f t="shared" si="2"/>
        <v>320327.20900000003</v>
      </c>
      <c r="C100" s="124">
        <f>C5+C10+C15+C20+C25+C30+C35+C40+C45+C50+C55+C60+C65+C70+C75+C80+C85+C90+C95+C96+C97+C98+C99</f>
        <v>135143.232</v>
      </c>
      <c r="D100" s="124">
        <f>D5+D10+D15+D20+D25+D30+D35+D40+D45+D50+D55+D60+D65+D70+D75+D80+D85+D90+D95+D96+D97+D98+D99</f>
        <v>3431.534</v>
      </c>
      <c r="E100" s="124">
        <f>E5+E10+E15+E20+E25+E30+E35+E40+E45+E50+E55+E60+E65+E70+E75+E80+E85+E90+E95+E96+E97+E98+E99</f>
        <v>75898.765</v>
      </c>
      <c r="F100" s="51">
        <f>F5+F10+F15+F20+F25+F30+F35+F40+F45+F50+F55+F60+F65+F70+F75+F80+F85+F90+F95+F96+F97+F98+F99</f>
        <v>105853.67799999999</v>
      </c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zoomScale="60" zoomScaleNormal="60" zoomScalePageLayoutView="0" workbookViewId="0" topLeftCell="A1">
      <pane xSplit="1" ySplit="4" topLeftCell="B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5:F99"/>
    </sheetView>
  </sheetViews>
  <sheetFormatPr defaultColWidth="9.00390625" defaultRowHeight="12.75"/>
  <cols>
    <col min="1" max="1" width="58.375" style="0" customWidth="1"/>
    <col min="2" max="6" width="25.25390625" style="0" customWidth="1"/>
    <col min="7" max="7" width="11.75390625" style="0" customWidth="1"/>
    <col min="8" max="8" width="27.00390625" style="0" customWidth="1"/>
    <col min="9" max="9" width="19.375" style="0" customWidth="1"/>
  </cols>
  <sheetData>
    <row r="1" spans="1:6" s="41" customFormat="1" ht="47.25" customHeight="1">
      <c r="A1" s="162" t="s">
        <v>32</v>
      </c>
      <c r="B1" s="162"/>
      <c r="C1" s="162"/>
      <c r="D1" s="162"/>
      <c r="E1" s="162"/>
      <c r="F1" s="162"/>
    </row>
    <row r="2" spans="1:6" s="42" customFormat="1" ht="23.25">
      <c r="A2" s="163" t="s">
        <v>47</v>
      </c>
      <c r="B2" s="163"/>
      <c r="C2" s="163"/>
      <c r="D2" s="164"/>
      <c r="E2" s="164"/>
      <c r="F2" s="164"/>
    </row>
    <row r="3" s="3" customFormat="1" ht="18.75" thickBot="1">
      <c r="F3" s="73" t="s">
        <v>31</v>
      </c>
    </row>
    <row r="4" spans="1:6" s="1" customFormat="1" ht="29.25" customHeight="1" thickBot="1">
      <c r="A4" s="43" t="s">
        <v>68</v>
      </c>
      <c r="B4" s="44"/>
      <c r="C4" s="45" t="s">
        <v>0</v>
      </c>
      <c r="D4" s="45" t="s">
        <v>1</v>
      </c>
      <c r="E4" s="45" t="s">
        <v>2</v>
      </c>
      <c r="F4" s="46" t="s">
        <v>3</v>
      </c>
    </row>
    <row r="5" spans="1:6" s="2" customFormat="1" ht="45.75" customHeight="1">
      <c r="A5" s="108" t="s">
        <v>57</v>
      </c>
      <c r="B5" s="128">
        <f>C5+D5+E5+F5</f>
        <v>513810.34900000005</v>
      </c>
      <c r="C5" s="47">
        <f>C6+C7</f>
        <v>231421.412</v>
      </c>
      <c r="D5" s="47">
        <f>D6+D7</f>
        <v>7202.447999999999</v>
      </c>
      <c r="E5" s="47">
        <f>E6+E7</f>
        <v>121022.126</v>
      </c>
      <c r="F5" s="48">
        <f>F6+F7</f>
        <v>154164.363</v>
      </c>
    </row>
    <row r="6" spans="1:6" s="2" customFormat="1" ht="27" customHeight="1">
      <c r="A6" s="109" t="s">
        <v>13</v>
      </c>
      <c r="B6" s="8">
        <f aca="true" t="shared" si="0" ref="B6:B55">C6+D6+E6+F6</f>
        <v>418688.93000000005</v>
      </c>
      <c r="C6" s="8">
        <f>'1 квартал'!C6+'2 квартал'!C6</f>
        <v>231223.067</v>
      </c>
      <c r="D6" s="8">
        <f>'1 квартал'!D6+'2 квартал'!D6</f>
        <v>7195.197999999999</v>
      </c>
      <c r="E6" s="8">
        <f>'1 квартал'!E6+'2 квартал'!E6</f>
        <v>116382.498</v>
      </c>
      <c r="F6" s="9">
        <f>'1 квартал'!F6+'2 квартал'!F6</f>
        <v>63888.167</v>
      </c>
    </row>
    <row r="7" spans="1:6" s="2" customFormat="1" ht="20.25" customHeight="1">
      <c r="A7" s="109" t="s">
        <v>10</v>
      </c>
      <c r="B7" s="8">
        <f t="shared" si="0"/>
        <v>95121.41900000001</v>
      </c>
      <c r="C7" s="8">
        <f>C8+C9</f>
        <v>198.34500000000003</v>
      </c>
      <c r="D7" s="15">
        <f>D8+D9</f>
        <v>7.25</v>
      </c>
      <c r="E7" s="15">
        <f>E8+E9</f>
        <v>4639.628</v>
      </c>
      <c r="F7" s="16">
        <f>F8+F9</f>
        <v>90276.19600000001</v>
      </c>
    </row>
    <row r="8" spans="1:6" s="2" customFormat="1" ht="21.75" customHeight="1">
      <c r="A8" s="109" t="s">
        <v>11</v>
      </c>
      <c r="B8" s="8">
        <f t="shared" si="0"/>
        <v>26925.149999999998</v>
      </c>
      <c r="C8" s="10">
        <f>'1 квартал'!C8+'2 квартал'!C8</f>
        <v>79.48500000000001</v>
      </c>
      <c r="D8" s="10">
        <f>'1 квартал'!D8+'2 квартал'!D8</f>
        <v>0</v>
      </c>
      <c r="E8" s="10">
        <f>'1 квартал'!E8+'2 квартал'!E8</f>
        <v>816.5619999999999</v>
      </c>
      <c r="F8" s="17">
        <f>'1 квартал'!F8+'2 квартал'!F8</f>
        <v>26029.103</v>
      </c>
    </row>
    <row r="9" spans="1:6" s="2" customFormat="1" ht="24.75" customHeight="1">
      <c r="A9" s="109" t="s">
        <v>12</v>
      </c>
      <c r="B9" s="8">
        <f t="shared" si="0"/>
        <v>68196.26900000001</v>
      </c>
      <c r="C9" s="10">
        <f>'1 квартал'!C9+'2 квартал'!C9</f>
        <v>118.86</v>
      </c>
      <c r="D9" s="10">
        <f>'1 квартал'!D9+'2 квартал'!D9</f>
        <v>7.25</v>
      </c>
      <c r="E9" s="10">
        <f>'1 квартал'!E9+'2 квартал'!E9</f>
        <v>3823.066</v>
      </c>
      <c r="F9" s="17">
        <f>'1 квартал'!F9+'2 квартал'!F9</f>
        <v>64247.09300000001</v>
      </c>
    </row>
    <row r="10" spans="1:6" s="2" customFormat="1" ht="34.5" customHeight="1">
      <c r="A10" s="110" t="s">
        <v>58</v>
      </c>
      <c r="B10" s="8">
        <f t="shared" si="0"/>
        <v>35733.887</v>
      </c>
      <c r="C10" s="15">
        <f>C11+C12</f>
        <v>5419.580000000001</v>
      </c>
      <c r="D10" s="15">
        <f>D11+D12</f>
        <v>0</v>
      </c>
      <c r="E10" s="15">
        <f>E11+E12</f>
        <v>12630.03</v>
      </c>
      <c r="F10" s="16">
        <f>F11+F12</f>
        <v>17684.277</v>
      </c>
    </row>
    <row r="11" spans="1:6" s="2" customFormat="1" ht="21.75" customHeight="1">
      <c r="A11" s="109" t="s">
        <v>13</v>
      </c>
      <c r="B11" s="8">
        <f t="shared" si="0"/>
        <v>22507.954</v>
      </c>
      <c r="C11" s="8">
        <f>'1 квартал'!C11+'2 квартал'!C11</f>
        <v>4912.1140000000005</v>
      </c>
      <c r="D11" s="8">
        <f>'1 квартал'!D11+'2 квартал'!D11</f>
        <v>0</v>
      </c>
      <c r="E11" s="8">
        <f>'1 квартал'!E11+'2 квартал'!E11</f>
        <v>10523.75</v>
      </c>
      <c r="F11" s="9">
        <f>'1 квартал'!F11+'2 квартал'!F11</f>
        <v>7072.089999999999</v>
      </c>
    </row>
    <row r="12" spans="1:6" s="2" customFormat="1" ht="19.5" customHeight="1">
      <c r="A12" s="109" t="s">
        <v>10</v>
      </c>
      <c r="B12" s="8">
        <f t="shared" si="0"/>
        <v>13225.933</v>
      </c>
      <c r="C12" s="8">
        <f>C13+C14</f>
        <v>507.466</v>
      </c>
      <c r="D12" s="15">
        <f>D13+D14</f>
        <v>0</v>
      </c>
      <c r="E12" s="15">
        <f>E13+E14</f>
        <v>2106.28</v>
      </c>
      <c r="F12" s="16">
        <f>F13+F14</f>
        <v>10612.187</v>
      </c>
    </row>
    <row r="13" spans="1:6" s="2" customFormat="1" ht="17.25" customHeight="1">
      <c r="A13" s="109" t="s">
        <v>11</v>
      </c>
      <c r="B13" s="8">
        <f t="shared" si="0"/>
        <v>7494.322999999999</v>
      </c>
      <c r="C13" s="10">
        <f>'1 квартал'!C13+'2 квартал'!C13</f>
        <v>0</v>
      </c>
      <c r="D13" s="10">
        <f>'1 квартал'!D13+'2 квартал'!D13</f>
        <v>0</v>
      </c>
      <c r="E13" s="10">
        <f>'1 квартал'!E13+'2 квартал'!E13</f>
        <v>349.735</v>
      </c>
      <c r="F13" s="17">
        <f>'1 квартал'!F13+'2 квартал'!F13</f>
        <v>7144.588</v>
      </c>
    </row>
    <row r="14" spans="1:6" s="2" customFormat="1" ht="17.25" customHeight="1">
      <c r="A14" s="109" t="s">
        <v>12</v>
      </c>
      <c r="B14" s="8">
        <f t="shared" si="0"/>
        <v>5731.61</v>
      </c>
      <c r="C14" s="10">
        <f>'1 квартал'!C14+'2 квартал'!C14</f>
        <v>507.466</v>
      </c>
      <c r="D14" s="10">
        <f>'1 квартал'!D14+'2 квартал'!D14</f>
        <v>0</v>
      </c>
      <c r="E14" s="10">
        <f>'1 квартал'!E14+'2 квартал'!E14</f>
        <v>1756.545</v>
      </c>
      <c r="F14" s="17">
        <f>'1 квартал'!F14+'2 квартал'!F14</f>
        <v>3467.5989999999997</v>
      </c>
    </row>
    <row r="15" spans="1:6" s="2" customFormat="1" ht="35.25" customHeight="1">
      <c r="A15" s="110" t="s">
        <v>6</v>
      </c>
      <c r="B15" s="8">
        <f t="shared" si="0"/>
        <v>8021.581999999999</v>
      </c>
      <c r="C15" s="15">
        <f>C16+C17</f>
        <v>8021.581999999999</v>
      </c>
      <c r="D15" s="15">
        <f>D16+D17</f>
        <v>0</v>
      </c>
      <c r="E15" s="15">
        <f>E16+E17</f>
        <v>0</v>
      </c>
      <c r="F15" s="16">
        <f>F16+F17</f>
        <v>0</v>
      </c>
    </row>
    <row r="16" spans="1:6" s="2" customFormat="1" ht="19.5" customHeight="1">
      <c r="A16" s="109" t="s">
        <v>13</v>
      </c>
      <c r="B16" s="8">
        <f t="shared" si="0"/>
        <v>8019.664</v>
      </c>
      <c r="C16" s="8">
        <f>'1 квартал'!C16+'2 квартал'!C16</f>
        <v>8019.664</v>
      </c>
      <c r="D16" s="8">
        <f>'1 квартал'!D16+'2 квартал'!D16</f>
        <v>0</v>
      </c>
      <c r="E16" s="8">
        <f>'1 квартал'!E16+'2 квартал'!E16</f>
        <v>0</v>
      </c>
      <c r="F16" s="9">
        <f>'1 квартал'!F16+'2 квартал'!F16</f>
        <v>0</v>
      </c>
    </row>
    <row r="17" spans="1:6" s="2" customFormat="1" ht="18" customHeight="1">
      <c r="A17" s="109" t="s">
        <v>10</v>
      </c>
      <c r="B17" s="8">
        <f t="shared" si="0"/>
        <v>1.9180000000000001</v>
      </c>
      <c r="C17" s="8">
        <f>C18+C19</f>
        <v>1.9180000000000001</v>
      </c>
      <c r="D17" s="15">
        <f>D18+D19</f>
        <v>0</v>
      </c>
      <c r="E17" s="15">
        <f>E18+E19</f>
        <v>0</v>
      </c>
      <c r="F17" s="16">
        <f>F18+F19</f>
        <v>0</v>
      </c>
    </row>
    <row r="18" spans="1:6" s="2" customFormat="1" ht="19.5" customHeight="1">
      <c r="A18" s="109" t="s">
        <v>11</v>
      </c>
      <c r="B18" s="8">
        <f t="shared" si="0"/>
        <v>1.9180000000000001</v>
      </c>
      <c r="C18" s="10">
        <f>'1 квартал'!C18+'2 квартал'!C18</f>
        <v>1.9180000000000001</v>
      </c>
      <c r="D18" s="10">
        <f>'1 квартал'!D18+'2 квартал'!D18</f>
        <v>0</v>
      </c>
      <c r="E18" s="10">
        <f>'1 квартал'!E18+'2 квартал'!E18</f>
        <v>0</v>
      </c>
      <c r="F18" s="17">
        <f>'1 квартал'!F18+'2 квартал'!F18</f>
        <v>0</v>
      </c>
    </row>
    <row r="19" spans="1:6" s="2" customFormat="1" ht="19.5" customHeight="1">
      <c r="A19" s="109" t="s">
        <v>12</v>
      </c>
      <c r="B19" s="8">
        <f t="shared" si="0"/>
        <v>0</v>
      </c>
      <c r="C19" s="10">
        <f>'1 квартал'!C19+'2 квартал'!C19</f>
        <v>0</v>
      </c>
      <c r="D19" s="10">
        <f>'1 квартал'!D19+'2 квартал'!D19</f>
        <v>0</v>
      </c>
      <c r="E19" s="10">
        <f>'1 квартал'!E19+'2 квартал'!E19</f>
        <v>0</v>
      </c>
      <c r="F19" s="17">
        <f>'1 квартал'!F19+'2 квартал'!F19</f>
        <v>0</v>
      </c>
    </row>
    <row r="20" spans="1:6" s="2" customFormat="1" ht="36" customHeight="1">
      <c r="A20" s="110" t="s">
        <v>59</v>
      </c>
      <c r="B20" s="8">
        <f t="shared" si="0"/>
        <v>3688.203</v>
      </c>
      <c r="C20" s="15">
        <f>C21+C22</f>
        <v>101.71100000000001</v>
      </c>
      <c r="D20" s="15">
        <f>D21+D22</f>
        <v>3090.0840000000003</v>
      </c>
      <c r="E20" s="15">
        <f>E21+E22</f>
        <v>19.637999999999998</v>
      </c>
      <c r="F20" s="16">
        <f>F21+F22</f>
        <v>476.77</v>
      </c>
    </row>
    <row r="21" spans="1:6" s="2" customFormat="1" ht="21.75" customHeight="1">
      <c r="A21" s="109" t="s">
        <v>13</v>
      </c>
      <c r="B21" s="8">
        <f t="shared" si="0"/>
        <v>3574.083</v>
      </c>
      <c r="C21" s="8">
        <f>'1 квартал'!C21+'2 квартал'!C21</f>
        <v>101.71100000000001</v>
      </c>
      <c r="D21" s="8">
        <f>'1 квартал'!D21+'2 квартал'!D21</f>
        <v>3090.0840000000003</v>
      </c>
      <c r="E21" s="8">
        <f>'1 квартал'!E21+'2 квартал'!E21</f>
        <v>19.637999999999998</v>
      </c>
      <c r="F21" s="9">
        <f>'1 квартал'!F21+'2 квартал'!F21</f>
        <v>362.65</v>
      </c>
    </row>
    <row r="22" spans="1:6" s="2" customFormat="1" ht="21" customHeight="1">
      <c r="A22" s="109" t="s">
        <v>10</v>
      </c>
      <c r="B22" s="8">
        <f t="shared" si="0"/>
        <v>114.12</v>
      </c>
      <c r="C22" s="8">
        <f>C23+C24</f>
        <v>0</v>
      </c>
      <c r="D22" s="15">
        <f>D23+D24</f>
        <v>0</v>
      </c>
      <c r="E22" s="15">
        <f>E23+E24</f>
        <v>0</v>
      </c>
      <c r="F22" s="16">
        <f>F23+F24</f>
        <v>114.12</v>
      </c>
    </row>
    <row r="23" spans="1:6" s="2" customFormat="1" ht="21.75" customHeight="1">
      <c r="A23" s="109" t="s">
        <v>11</v>
      </c>
      <c r="B23" s="8">
        <f t="shared" si="0"/>
        <v>114.12</v>
      </c>
      <c r="C23" s="10">
        <f>'1 квартал'!C23+'2 квартал'!C23</f>
        <v>0</v>
      </c>
      <c r="D23" s="10">
        <f>'1 квартал'!D23+'2 квартал'!D23</f>
        <v>0</v>
      </c>
      <c r="E23" s="10">
        <f>'1 квартал'!E23+'2 квартал'!E23</f>
        <v>0</v>
      </c>
      <c r="F23" s="17">
        <f>'1 квартал'!F23+'2 квартал'!F23</f>
        <v>114.12</v>
      </c>
    </row>
    <row r="24" spans="1:6" s="2" customFormat="1" ht="21" customHeight="1">
      <c r="A24" s="109" t="s">
        <v>12</v>
      </c>
      <c r="B24" s="8">
        <f t="shared" si="0"/>
        <v>0</v>
      </c>
      <c r="C24" s="10">
        <f>'1 квартал'!C24+'2 квартал'!C24</f>
        <v>0</v>
      </c>
      <c r="D24" s="10">
        <f>'1 квартал'!D24+'2 квартал'!D24</f>
        <v>0</v>
      </c>
      <c r="E24" s="10">
        <f>'1 квартал'!E24+'2 квартал'!E24</f>
        <v>0</v>
      </c>
      <c r="F24" s="17">
        <f>'1 квартал'!F24+'2 квартал'!F24</f>
        <v>0</v>
      </c>
    </row>
    <row r="25" spans="1:6" s="2" customFormat="1" ht="41.25" customHeight="1">
      <c r="A25" s="110" t="s">
        <v>7</v>
      </c>
      <c r="B25" s="8">
        <f t="shared" si="0"/>
        <v>74458.123</v>
      </c>
      <c r="C25" s="15">
        <f>C26+C27</f>
        <v>41308.168000000005</v>
      </c>
      <c r="D25" s="15">
        <f>D26+D27</f>
        <v>0</v>
      </c>
      <c r="E25" s="15">
        <f>E26+E27</f>
        <v>11597.492</v>
      </c>
      <c r="F25" s="16">
        <f>F26+F27</f>
        <v>21552.463</v>
      </c>
    </row>
    <row r="26" spans="1:6" s="2" customFormat="1" ht="19.5" customHeight="1">
      <c r="A26" s="109" t="s">
        <v>13</v>
      </c>
      <c r="B26" s="8">
        <f t="shared" si="0"/>
        <v>59907.43600000001</v>
      </c>
      <c r="C26" s="8">
        <f>'1 квартал'!C26+'2 квартал'!C26</f>
        <v>41308.168000000005</v>
      </c>
      <c r="D26" s="8">
        <f>'1 квартал'!D26+'2 квартал'!D26</f>
        <v>0</v>
      </c>
      <c r="E26" s="8">
        <f>'1 квартал'!E26+'2 квартал'!E26</f>
        <v>11266.097</v>
      </c>
      <c r="F26" s="9">
        <f>'1 квартал'!F26+'2 квартал'!F26</f>
        <v>7333.170999999999</v>
      </c>
    </row>
    <row r="27" spans="1:6" s="2" customFormat="1" ht="24.75" customHeight="1">
      <c r="A27" s="109" t="s">
        <v>10</v>
      </c>
      <c r="B27" s="8">
        <f t="shared" si="0"/>
        <v>14550.687</v>
      </c>
      <c r="C27" s="8">
        <f>C28+C29</f>
        <v>0</v>
      </c>
      <c r="D27" s="15">
        <f>D28+D29</f>
        <v>0</v>
      </c>
      <c r="E27" s="15">
        <f>E28+E29</f>
        <v>331.395</v>
      </c>
      <c r="F27" s="16">
        <f>F28+F29</f>
        <v>14219.292</v>
      </c>
    </row>
    <row r="28" spans="1:6" s="2" customFormat="1" ht="25.5" customHeight="1">
      <c r="A28" s="109" t="s">
        <v>11</v>
      </c>
      <c r="B28" s="8">
        <f t="shared" si="0"/>
        <v>14369.276</v>
      </c>
      <c r="C28" s="10">
        <f>'1 квартал'!C28+'2 квартал'!C28</f>
        <v>0</v>
      </c>
      <c r="D28" s="10">
        <f>'1 квартал'!D28+'2 квартал'!D28</f>
        <v>0</v>
      </c>
      <c r="E28" s="10">
        <f>'1 квартал'!E28+'2 квартал'!E28</f>
        <v>331.395</v>
      </c>
      <c r="F28" s="17">
        <f>'1 квартал'!F28+'2 квартал'!F28</f>
        <v>14037.881</v>
      </c>
    </row>
    <row r="29" spans="1:6" s="2" customFormat="1" ht="20.25" customHeight="1">
      <c r="A29" s="109" t="s">
        <v>12</v>
      </c>
      <c r="B29" s="8">
        <f t="shared" si="0"/>
        <v>181.411</v>
      </c>
      <c r="C29" s="10">
        <f>'1 квартал'!C29+'2 квартал'!C29</f>
        <v>0</v>
      </c>
      <c r="D29" s="10">
        <f>'1 квартал'!D29+'2 квартал'!D29</f>
        <v>0</v>
      </c>
      <c r="E29" s="10">
        <f>'1 квартал'!E29+'2 квартал'!E29</f>
        <v>0</v>
      </c>
      <c r="F29" s="17">
        <f>'1 квартал'!F29+'2 квартал'!F29</f>
        <v>181.411</v>
      </c>
    </row>
    <row r="30" spans="1:6" s="2" customFormat="1" ht="50.25" customHeight="1">
      <c r="A30" s="110" t="s">
        <v>60</v>
      </c>
      <c r="B30" s="8">
        <f t="shared" si="0"/>
        <v>683.8349999999999</v>
      </c>
      <c r="C30" s="15">
        <f>C31+C32</f>
        <v>0</v>
      </c>
      <c r="D30" s="15">
        <f>D31+D32</f>
        <v>0</v>
      </c>
      <c r="E30" s="15">
        <f>E31+E32</f>
        <v>437.393</v>
      </c>
      <c r="F30" s="16">
        <f>F31+F32</f>
        <v>246.44199999999998</v>
      </c>
    </row>
    <row r="31" spans="1:6" s="2" customFormat="1" ht="22.5" customHeight="1">
      <c r="A31" s="109" t="s">
        <v>13</v>
      </c>
      <c r="B31" s="8">
        <f t="shared" si="0"/>
        <v>523.207</v>
      </c>
      <c r="C31" s="8">
        <f>'1 квартал'!C31+'2 квартал'!C31</f>
        <v>0</v>
      </c>
      <c r="D31" s="8">
        <f>'1 квартал'!D31+'2 квартал'!D31</f>
        <v>0</v>
      </c>
      <c r="E31" s="8">
        <f>'1 квартал'!E31+'2 квартал'!E31</f>
        <v>437.393</v>
      </c>
      <c r="F31" s="9">
        <f>'1 квартал'!F31+'2 квартал'!F31</f>
        <v>85.814</v>
      </c>
    </row>
    <row r="32" spans="1:6" s="2" customFormat="1" ht="24.75" customHeight="1">
      <c r="A32" s="109" t="s">
        <v>10</v>
      </c>
      <c r="B32" s="8">
        <f t="shared" si="0"/>
        <v>160.628</v>
      </c>
      <c r="C32" s="8">
        <f>C33+C34</f>
        <v>0</v>
      </c>
      <c r="D32" s="15">
        <f>D33+D34</f>
        <v>0</v>
      </c>
      <c r="E32" s="15">
        <f>E33+E34</f>
        <v>0</v>
      </c>
      <c r="F32" s="16">
        <f>F33+F34</f>
        <v>160.628</v>
      </c>
    </row>
    <row r="33" spans="1:6" s="2" customFormat="1" ht="18" customHeight="1">
      <c r="A33" s="109" t="s">
        <v>11</v>
      </c>
      <c r="B33" s="8">
        <f t="shared" si="0"/>
        <v>131.066</v>
      </c>
      <c r="C33" s="10">
        <f>'1 квартал'!C33+'2 квартал'!C33</f>
        <v>0</v>
      </c>
      <c r="D33" s="10">
        <f>'1 квартал'!D33+'2 квартал'!D33</f>
        <v>0</v>
      </c>
      <c r="E33" s="10">
        <f>'1 квартал'!E33+'2 квартал'!E33</f>
        <v>0</v>
      </c>
      <c r="F33" s="17">
        <f>'1 квартал'!F33+'2 квартал'!F33</f>
        <v>131.066</v>
      </c>
    </row>
    <row r="34" spans="1:6" s="2" customFormat="1" ht="18" customHeight="1">
      <c r="A34" s="109" t="s">
        <v>12</v>
      </c>
      <c r="B34" s="8">
        <f t="shared" si="0"/>
        <v>29.561999999999998</v>
      </c>
      <c r="C34" s="10">
        <f>'1 квартал'!C34+'2 квартал'!C34</f>
        <v>0</v>
      </c>
      <c r="D34" s="10">
        <f>'1 квартал'!D34+'2 квартал'!D34</f>
        <v>0</v>
      </c>
      <c r="E34" s="10">
        <f>'1 квартал'!E34+'2 квартал'!E34</f>
        <v>0</v>
      </c>
      <c r="F34" s="17">
        <f>'1 квартал'!F34+'2 квартал'!F34</f>
        <v>29.561999999999998</v>
      </c>
    </row>
    <row r="35" spans="1:6" s="2" customFormat="1" ht="25.5" customHeight="1">
      <c r="A35" s="49" t="s">
        <v>61</v>
      </c>
      <c r="B35" s="8">
        <f t="shared" si="0"/>
        <v>874.577</v>
      </c>
      <c r="C35" s="15">
        <f>C36+C37</f>
        <v>0</v>
      </c>
      <c r="D35" s="15">
        <f>D36+D37</f>
        <v>0</v>
      </c>
      <c r="E35" s="15">
        <f>E36+E37</f>
        <v>0</v>
      </c>
      <c r="F35" s="16">
        <f>F36+F37</f>
        <v>874.577</v>
      </c>
    </row>
    <row r="36" spans="1:6" s="2" customFormat="1" ht="23.25" customHeight="1">
      <c r="A36" s="109" t="s">
        <v>13</v>
      </c>
      <c r="B36" s="8">
        <f t="shared" si="0"/>
        <v>799.79</v>
      </c>
      <c r="C36" s="8">
        <f>'1 квартал'!C36+'2 квартал'!C36</f>
        <v>0</v>
      </c>
      <c r="D36" s="8">
        <f>'1 квартал'!D36+'2 квартал'!D36</f>
        <v>0</v>
      </c>
      <c r="E36" s="8">
        <f>'1 квартал'!E36+'2 квартал'!E36</f>
        <v>0</v>
      </c>
      <c r="F36" s="9">
        <f>'1 квартал'!F36+'2 квартал'!F36</f>
        <v>799.79</v>
      </c>
    </row>
    <row r="37" spans="1:6" s="2" customFormat="1" ht="23.25" customHeight="1">
      <c r="A37" s="109" t="s">
        <v>10</v>
      </c>
      <c r="B37" s="8">
        <f t="shared" si="0"/>
        <v>74.787</v>
      </c>
      <c r="C37" s="8">
        <f>C38+C39</f>
        <v>0</v>
      </c>
      <c r="D37" s="15">
        <f>D38+D39</f>
        <v>0</v>
      </c>
      <c r="E37" s="15">
        <f>E38+E39</f>
        <v>0</v>
      </c>
      <c r="F37" s="16">
        <f>F38+F39</f>
        <v>74.787</v>
      </c>
    </row>
    <row r="38" spans="1:6" s="2" customFormat="1" ht="23.25" customHeight="1">
      <c r="A38" s="109" t="s">
        <v>11</v>
      </c>
      <c r="B38" s="8">
        <f t="shared" si="0"/>
        <v>0</v>
      </c>
      <c r="C38" s="10">
        <f>'1 квартал'!C38+'2 квартал'!C38</f>
        <v>0</v>
      </c>
      <c r="D38" s="10">
        <f>'1 квартал'!D38+'2 квартал'!D38</f>
        <v>0</v>
      </c>
      <c r="E38" s="10">
        <f>'1 квартал'!E38+'2 квартал'!E38</f>
        <v>0</v>
      </c>
      <c r="F38" s="17">
        <f>'1 квартал'!F38+'2 квартал'!F38</f>
        <v>0</v>
      </c>
    </row>
    <row r="39" spans="1:6" s="2" customFormat="1" ht="23.25" customHeight="1">
      <c r="A39" s="109" t="s">
        <v>12</v>
      </c>
      <c r="B39" s="8">
        <f t="shared" si="0"/>
        <v>74.787</v>
      </c>
      <c r="C39" s="10">
        <f>'1 квартал'!C39+'2 квартал'!C39</f>
        <v>0</v>
      </c>
      <c r="D39" s="10">
        <f>'1 квартал'!D39+'2 квартал'!D39</f>
        <v>0</v>
      </c>
      <c r="E39" s="10">
        <f>'1 квартал'!E39+'2 квартал'!E39</f>
        <v>0</v>
      </c>
      <c r="F39" s="17">
        <f>'1 квартал'!F39+'2 квартал'!F39</f>
        <v>74.787</v>
      </c>
    </row>
    <row r="40" spans="1:6" s="2" customFormat="1" ht="42" customHeight="1">
      <c r="A40" s="110" t="s">
        <v>26</v>
      </c>
      <c r="B40" s="8">
        <f t="shared" si="0"/>
        <v>415.19000000000005</v>
      </c>
      <c r="C40" s="15">
        <f>C41+C42</f>
        <v>7.523</v>
      </c>
      <c r="D40" s="15">
        <f>D41+D42</f>
        <v>0</v>
      </c>
      <c r="E40" s="15">
        <f>E41+E42</f>
        <v>407.66700000000003</v>
      </c>
      <c r="F40" s="16">
        <f>F41+F42</f>
        <v>0</v>
      </c>
    </row>
    <row r="41" spans="1:6" s="2" customFormat="1" ht="19.5" customHeight="1">
      <c r="A41" s="109" t="s">
        <v>13</v>
      </c>
      <c r="B41" s="8">
        <f t="shared" si="0"/>
        <v>415.19000000000005</v>
      </c>
      <c r="C41" s="8">
        <f>'1 квартал'!C41+'2 квартал'!C41</f>
        <v>7.523</v>
      </c>
      <c r="D41" s="8">
        <f>'1 квартал'!D41+'2 квартал'!D41</f>
        <v>0</v>
      </c>
      <c r="E41" s="8">
        <f>'1 квартал'!E41+'2 квартал'!E41</f>
        <v>407.66700000000003</v>
      </c>
      <c r="F41" s="9">
        <f>'1 квартал'!F41+'2 квартал'!F41</f>
        <v>0</v>
      </c>
    </row>
    <row r="42" spans="1:6" s="2" customFormat="1" ht="19.5" customHeight="1">
      <c r="A42" s="109" t="s">
        <v>10</v>
      </c>
      <c r="B42" s="8">
        <f t="shared" si="0"/>
        <v>0</v>
      </c>
      <c r="C42" s="8">
        <f>C43+C44</f>
        <v>0</v>
      </c>
      <c r="D42" s="15">
        <f>D43+D44</f>
        <v>0</v>
      </c>
      <c r="E42" s="15">
        <f>E43+E44</f>
        <v>0</v>
      </c>
      <c r="F42" s="16">
        <f>F43+F44</f>
        <v>0</v>
      </c>
    </row>
    <row r="43" spans="1:6" s="2" customFormat="1" ht="19.5" customHeight="1">
      <c r="A43" s="109" t="s">
        <v>11</v>
      </c>
      <c r="B43" s="8">
        <f t="shared" si="0"/>
        <v>0</v>
      </c>
      <c r="C43" s="10">
        <f>'1 квартал'!C43+'2 квартал'!C43</f>
        <v>0</v>
      </c>
      <c r="D43" s="10">
        <f>'1 квартал'!D43+'2 квартал'!D43</f>
        <v>0</v>
      </c>
      <c r="E43" s="10">
        <f>'1 квартал'!E43+'2 квартал'!E43</f>
        <v>0</v>
      </c>
      <c r="F43" s="17">
        <f>'1 квартал'!F43+'2 квартал'!F43</f>
        <v>0</v>
      </c>
    </row>
    <row r="44" spans="1:6" s="2" customFormat="1" ht="19.5" customHeight="1">
      <c r="A44" s="109" t="s">
        <v>12</v>
      </c>
      <c r="B44" s="8">
        <f t="shared" si="0"/>
        <v>0</v>
      </c>
      <c r="C44" s="10">
        <f>'1 квартал'!C44+'2 квартал'!C44</f>
        <v>0</v>
      </c>
      <c r="D44" s="10">
        <f>'1 квартал'!D44+'2 квартал'!D44</f>
        <v>0</v>
      </c>
      <c r="E44" s="10">
        <f>'1 квартал'!E44+'2 квартал'!E44</f>
        <v>0</v>
      </c>
      <c r="F44" s="17">
        <f>'1 квартал'!F44+'2 квартал'!F44</f>
        <v>0</v>
      </c>
    </row>
    <row r="45" spans="1:6" s="2" customFormat="1" ht="24.75" customHeight="1">
      <c r="A45" s="111" t="s">
        <v>29</v>
      </c>
      <c r="B45" s="8">
        <f t="shared" si="0"/>
        <v>1652.4969999999998</v>
      </c>
      <c r="C45" s="15">
        <f>C46+C47</f>
        <v>0</v>
      </c>
      <c r="D45" s="15">
        <f>D46+D47</f>
        <v>0</v>
      </c>
      <c r="E45" s="15">
        <f>E46+E47</f>
        <v>1165.846</v>
      </c>
      <c r="F45" s="16">
        <f>F46+F47</f>
        <v>486.65099999999995</v>
      </c>
    </row>
    <row r="46" spans="1:6" s="2" customFormat="1" ht="24.75" customHeight="1">
      <c r="A46" s="109" t="s">
        <v>13</v>
      </c>
      <c r="B46" s="8">
        <f t="shared" si="0"/>
        <v>1652.4969999999998</v>
      </c>
      <c r="C46" s="8">
        <f>'1 квартал'!C46+'2 квартал'!C46</f>
        <v>0</v>
      </c>
      <c r="D46" s="8">
        <f>'1 квартал'!D46+'2 квартал'!D46</f>
        <v>0</v>
      </c>
      <c r="E46" s="8">
        <f>'1 квартал'!E46+'2 квартал'!E46</f>
        <v>1165.846</v>
      </c>
      <c r="F46" s="9">
        <f>'1 квартал'!F46+'2 квартал'!F46</f>
        <v>486.65099999999995</v>
      </c>
    </row>
    <row r="47" spans="1:6" s="2" customFormat="1" ht="24.75" customHeight="1">
      <c r="A47" s="109" t="s">
        <v>10</v>
      </c>
      <c r="B47" s="8">
        <f t="shared" si="0"/>
        <v>0</v>
      </c>
      <c r="C47" s="8">
        <f>C48+C49</f>
        <v>0</v>
      </c>
      <c r="D47" s="15">
        <f>D48+D49</f>
        <v>0</v>
      </c>
      <c r="E47" s="15">
        <f>E48+E49</f>
        <v>0</v>
      </c>
      <c r="F47" s="16">
        <f>F48+F49</f>
        <v>0</v>
      </c>
    </row>
    <row r="48" spans="1:6" s="2" customFormat="1" ht="24.75" customHeight="1">
      <c r="A48" s="109" t="s">
        <v>11</v>
      </c>
      <c r="B48" s="8">
        <f t="shared" si="0"/>
        <v>0</v>
      </c>
      <c r="C48" s="10">
        <f>'1 квартал'!C48+'2 квартал'!C48</f>
        <v>0</v>
      </c>
      <c r="D48" s="10">
        <f>'1 квартал'!D48+'2 квартал'!D48</f>
        <v>0</v>
      </c>
      <c r="E48" s="10">
        <f>'1 квартал'!E48+'2 квартал'!E48</f>
        <v>0</v>
      </c>
      <c r="F48" s="17">
        <f>'1 квартал'!F48+'2 квартал'!F48</f>
        <v>0</v>
      </c>
    </row>
    <row r="49" spans="1:6" s="2" customFormat="1" ht="24.75" customHeight="1">
      <c r="A49" s="109" t="s">
        <v>12</v>
      </c>
      <c r="B49" s="8">
        <f t="shared" si="0"/>
        <v>0</v>
      </c>
      <c r="C49" s="10">
        <f>'1 квартал'!C49+'2 квартал'!C49</f>
        <v>0</v>
      </c>
      <c r="D49" s="10">
        <f>'1 квартал'!D49+'2 квартал'!D49</f>
        <v>0</v>
      </c>
      <c r="E49" s="10">
        <f>'1 квартал'!E49+'2 квартал'!E49</f>
        <v>0</v>
      </c>
      <c r="F49" s="17">
        <f>'1 квартал'!F49+'2 квартал'!F49</f>
        <v>0</v>
      </c>
    </row>
    <row r="50" spans="1:6" s="2" customFormat="1" ht="24.75" customHeight="1">
      <c r="A50" s="111" t="s">
        <v>4</v>
      </c>
      <c r="B50" s="8">
        <f t="shared" si="0"/>
        <v>4413.169</v>
      </c>
      <c r="C50" s="15">
        <f>C51+C52</f>
        <v>4413.169</v>
      </c>
      <c r="D50" s="15">
        <f>D51+D52</f>
        <v>0</v>
      </c>
      <c r="E50" s="15">
        <f>E51+E52</f>
        <v>0</v>
      </c>
      <c r="F50" s="16">
        <f>F51+F52</f>
        <v>0</v>
      </c>
    </row>
    <row r="51" spans="1:6" s="2" customFormat="1" ht="24.75" customHeight="1">
      <c r="A51" s="109" t="s">
        <v>13</v>
      </c>
      <c r="B51" s="8">
        <f t="shared" si="0"/>
        <v>4413.169</v>
      </c>
      <c r="C51" s="8">
        <f>'1 квартал'!C51+'2 квартал'!C51</f>
        <v>4413.169</v>
      </c>
      <c r="D51" s="8">
        <f>'1 квартал'!D51+'2 квартал'!D51</f>
        <v>0</v>
      </c>
      <c r="E51" s="8">
        <f>'1 квартал'!E51+'2 квартал'!E51</f>
        <v>0</v>
      </c>
      <c r="F51" s="9">
        <f>'1 квартал'!F51+'2 квартал'!F51</f>
        <v>0</v>
      </c>
    </row>
    <row r="52" spans="1:6" s="2" customFormat="1" ht="24.75" customHeight="1">
      <c r="A52" s="109" t="s">
        <v>10</v>
      </c>
      <c r="B52" s="8">
        <f t="shared" si="0"/>
        <v>0</v>
      </c>
      <c r="C52" s="8">
        <f>C53+C54</f>
        <v>0</v>
      </c>
      <c r="D52" s="15">
        <f>D53+D54</f>
        <v>0</v>
      </c>
      <c r="E52" s="15">
        <f>E53+E54</f>
        <v>0</v>
      </c>
      <c r="F52" s="16">
        <f>F53+F54</f>
        <v>0</v>
      </c>
    </row>
    <row r="53" spans="1:6" s="2" customFormat="1" ht="24.75" customHeight="1">
      <c r="A53" s="109" t="s">
        <v>11</v>
      </c>
      <c r="B53" s="8">
        <f t="shared" si="0"/>
        <v>0</v>
      </c>
      <c r="C53" s="10">
        <f>'1 квартал'!C53+'2 квартал'!C53</f>
        <v>0</v>
      </c>
      <c r="D53" s="10">
        <f>'1 квартал'!D53+'2 квартал'!D53</f>
        <v>0</v>
      </c>
      <c r="E53" s="10">
        <f>'1 квартал'!E53+'2 квартал'!E53</f>
        <v>0</v>
      </c>
      <c r="F53" s="17">
        <f>'1 квартал'!F53+'2 квартал'!F53</f>
        <v>0</v>
      </c>
    </row>
    <row r="54" spans="1:6" s="2" customFormat="1" ht="24.75" customHeight="1">
      <c r="A54" s="109" t="s">
        <v>12</v>
      </c>
      <c r="B54" s="8">
        <f t="shared" si="0"/>
        <v>0</v>
      </c>
      <c r="C54" s="10">
        <f>'1 квартал'!C54+'2 квартал'!C54</f>
        <v>0</v>
      </c>
      <c r="D54" s="10">
        <f>'1 квартал'!D54+'2 квартал'!D54</f>
        <v>0</v>
      </c>
      <c r="E54" s="10">
        <f>'1 квартал'!E54+'2 квартал'!E54</f>
        <v>0</v>
      </c>
      <c r="F54" s="17">
        <f>'1 квартал'!F54+'2 квартал'!F54</f>
        <v>0</v>
      </c>
    </row>
    <row r="55" spans="1:6" s="2" customFormat="1" ht="50.25" customHeight="1">
      <c r="A55" s="110" t="s">
        <v>62</v>
      </c>
      <c r="B55" s="8">
        <f t="shared" si="0"/>
        <v>5115.537</v>
      </c>
      <c r="C55" s="15">
        <f>C56+C57</f>
        <v>0</v>
      </c>
      <c r="D55" s="15">
        <f>D56+D57</f>
        <v>0</v>
      </c>
      <c r="E55" s="15">
        <f>E56+E57</f>
        <v>2359.937</v>
      </c>
      <c r="F55" s="16">
        <f>F56+F57</f>
        <v>2755.6</v>
      </c>
    </row>
    <row r="56" spans="1:6" s="2" customFormat="1" ht="26.25" customHeight="1">
      <c r="A56" s="109" t="s">
        <v>13</v>
      </c>
      <c r="B56" s="8">
        <f>F56+E56+D56+C56</f>
        <v>3227.337</v>
      </c>
      <c r="C56" s="8">
        <f>'1 квартал'!C56+'2 квартал'!C56</f>
        <v>0</v>
      </c>
      <c r="D56" s="8">
        <f>'1 квартал'!D56+'2 квартал'!D56</f>
        <v>0</v>
      </c>
      <c r="E56" s="8">
        <f>'1 квартал'!E56+'2 квартал'!E56</f>
        <v>2359.937</v>
      </c>
      <c r="F56" s="9">
        <f>'1 квартал'!F56+'2 квартал'!F56</f>
        <v>867.4</v>
      </c>
    </row>
    <row r="57" spans="1:6" s="2" customFormat="1" ht="26.25" customHeight="1">
      <c r="A57" s="109" t="s">
        <v>10</v>
      </c>
      <c r="B57" s="8">
        <f aca="true" t="shared" si="1" ref="B57:B100">C57+D57+E57+F57</f>
        <v>1888.2</v>
      </c>
      <c r="C57" s="8">
        <f>C58+C59</f>
        <v>0</v>
      </c>
      <c r="D57" s="15">
        <f>D58+D59</f>
        <v>0</v>
      </c>
      <c r="E57" s="15">
        <f>E58+E59</f>
        <v>0</v>
      </c>
      <c r="F57" s="16">
        <f>F58+F59</f>
        <v>1888.2</v>
      </c>
    </row>
    <row r="58" spans="1:6" s="2" customFormat="1" ht="26.25" customHeight="1">
      <c r="A58" s="109" t="s">
        <v>11</v>
      </c>
      <c r="B58" s="8">
        <f t="shared" si="1"/>
        <v>1647.076</v>
      </c>
      <c r="C58" s="10">
        <f>'1 квартал'!C58+'2 квартал'!C58</f>
        <v>0</v>
      </c>
      <c r="D58" s="10">
        <f>'1 квартал'!D58+'2 квартал'!D58</f>
        <v>0</v>
      </c>
      <c r="E58" s="10">
        <f>'1 квартал'!E58+'2 квартал'!E58</f>
        <v>0</v>
      </c>
      <c r="F58" s="17">
        <f>'1 квартал'!F58+'2 квартал'!F58</f>
        <v>1647.076</v>
      </c>
    </row>
    <row r="59" spans="1:6" s="2" customFormat="1" ht="26.25" customHeight="1">
      <c r="A59" s="109" t="s">
        <v>12</v>
      </c>
      <c r="B59" s="8">
        <f t="shared" si="1"/>
        <v>241.124</v>
      </c>
      <c r="C59" s="10">
        <f>'1 квартал'!C59+'2 квартал'!C59</f>
        <v>0</v>
      </c>
      <c r="D59" s="10">
        <f>'1 квартал'!D59+'2 квартал'!D59</f>
        <v>0</v>
      </c>
      <c r="E59" s="10">
        <f>'1 квартал'!E59+'2 квартал'!E59</f>
        <v>0</v>
      </c>
      <c r="F59" s="17">
        <f>'1 квартал'!F59+'2 квартал'!F59</f>
        <v>241.124</v>
      </c>
    </row>
    <row r="60" spans="1:6" s="2" customFormat="1" ht="24.75" customHeight="1">
      <c r="A60" s="110" t="s">
        <v>28</v>
      </c>
      <c r="B60" s="8">
        <f t="shared" si="1"/>
        <v>11353.029999999999</v>
      </c>
      <c r="C60" s="15">
        <f>C61+C62</f>
        <v>11275.23</v>
      </c>
      <c r="D60" s="15">
        <f>D61+D62</f>
        <v>0</v>
      </c>
      <c r="E60" s="15">
        <f>E61+E62</f>
        <v>0</v>
      </c>
      <c r="F60" s="16">
        <f>F61+F62</f>
        <v>77.80000000000001</v>
      </c>
    </row>
    <row r="61" spans="1:6" s="2" customFormat="1" ht="21.75" customHeight="1">
      <c r="A61" s="109" t="s">
        <v>13</v>
      </c>
      <c r="B61" s="8">
        <f t="shared" si="1"/>
        <v>11353.029999999999</v>
      </c>
      <c r="C61" s="8">
        <f>'1 квартал'!C61+'2 квартал'!C61</f>
        <v>11275.23</v>
      </c>
      <c r="D61" s="8">
        <f>'1 квартал'!D61+'2 квартал'!D61</f>
        <v>0</v>
      </c>
      <c r="E61" s="8">
        <f>'1 квартал'!E61+'2 квартал'!E61</f>
        <v>0</v>
      </c>
      <c r="F61" s="9">
        <f>'1 квартал'!F61+'2 квартал'!F61</f>
        <v>77.80000000000001</v>
      </c>
    </row>
    <row r="62" spans="1:6" s="2" customFormat="1" ht="16.5" customHeight="1">
      <c r="A62" s="109" t="s">
        <v>10</v>
      </c>
      <c r="B62" s="8">
        <f t="shared" si="1"/>
        <v>0</v>
      </c>
      <c r="C62" s="8">
        <f>C63+C64</f>
        <v>0</v>
      </c>
      <c r="D62" s="15">
        <f>D63+D64</f>
        <v>0</v>
      </c>
      <c r="E62" s="15">
        <f>E63+E64</f>
        <v>0</v>
      </c>
      <c r="F62" s="16">
        <f>F63+F64</f>
        <v>0</v>
      </c>
    </row>
    <row r="63" spans="1:6" s="2" customFormat="1" ht="18" customHeight="1">
      <c r="A63" s="109" t="s">
        <v>11</v>
      </c>
      <c r="B63" s="8">
        <f t="shared" si="1"/>
        <v>0</v>
      </c>
      <c r="C63" s="10">
        <f>'1 квартал'!C63+'2 квартал'!C63</f>
        <v>0</v>
      </c>
      <c r="D63" s="10">
        <f>'1 квартал'!D63+'2 квартал'!D63</f>
        <v>0</v>
      </c>
      <c r="E63" s="10">
        <f>'1 квартал'!E63+'2 квартал'!E63</f>
        <v>0</v>
      </c>
      <c r="F63" s="17">
        <f>'1 квартал'!F63+'2 квартал'!F63</f>
        <v>0</v>
      </c>
    </row>
    <row r="64" spans="1:6" s="2" customFormat="1" ht="18" customHeight="1">
      <c r="A64" s="109" t="s">
        <v>12</v>
      </c>
      <c r="B64" s="8">
        <f t="shared" si="1"/>
        <v>0</v>
      </c>
      <c r="C64" s="10">
        <f>'1 квартал'!C64+'2 квартал'!C64</f>
        <v>0</v>
      </c>
      <c r="D64" s="10">
        <f>'1 квартал'!D64+'2 квартал'!D64</f>
        <v>0</v>
      </c>
      <c r="E64" s="10">
        <f>'1 квартал'!E64+'2 квартал'!E64</f>
        <v>0</v>
      </c>
      <c r="F64" s="17">
        <f>'1 квартал'!F64+'2 квартал'!F64</f>
        <v>0</v>
      </c>
    </row>
    <row r="65" spans="1:6" s="2" customFormat="1" ht="24.75" customHeight="1">
      <c r="A65" s="110" t="s">
        <v>63</v>
      </c>
      <c r="B65" s="8">
        <f t="shared" si="1"/>
        <v>0</v>
      </c>
      <c r="C65" s="15">
        <f>C66+C67</f>
        <v>0</v>
      </c>
      <c r="D65" s="15">
        <f>D66+D67</f>
        <v>0</v>
      </c>
      <c r="E65" s="15">
        <f>E66+E67</f>
        <v>0</v>
      </c>
      <c r="F65" s="16">
        <f>F66+F67</f>
        <v>0</v>
      </c>
    </row>
    <row r="66" spans="1:6" s="2" customFormat="1" ht="21.75" customHeight="1">
      <c r="A66" s="109" t="s">
        <v>13</v>
      </c>
      <c r="B66" s="8">
        <f t="shared" si="1"/>
        <v>0</v>
      </c>
      <c r="C66" s="8">
        <f>'1 квартал'!C66+'2 квартал'!C66</f>
        <v>0</v>
      </c>
      <c r="D66" s="8">
        <f>'1 квартал'!D66+'2 квартал'!D66</f>
        <v>0</v>
      </c>
      <c r="E66" s="8">
        <f>'1 квартал'!E66+'2 квартал'!E66</f>
        <v>0</v>
      </c>
      <c r="F66" s="9">
        <f>'1 квартал'!F66+'2 квартал'!F66</f>
        <v>0</v>
      </c>
    </row>
    <row r="67" spans="1:6" s="2" customFormat="1" ht="18" customHeight="1">
      <c r="A67" s="109" t="s">
        <v>10</v>
      </c>
      <c r="B67" s="8">
        <f t="shared" si="1"/>
        <v>0</v>
      </c>
      <c r="C67" s="8">
        <f>C68+C69</f>
        <v>0</v>
      </c>
      <c r="D67" s="15">
        <f>D68+D69</f>
        <v>0</v>
      </c>
      <c r="E67" s="15">
        <f>E68+E69</f>
        <v>0</v>
      </c>
      <c r="F67" s="16">
        <f>F68+F69</f>
        <v>0</v>
      </c>
    </row>
    <row r="68" spans="1:6" s="2" customFormat="1" ht="19.5" customHeight="1">
      <c r="A68" s="109" t="s">
        <v>11</v>
      </c>
      <c r="B68" s="8">
        <f t="shared" si="1"/>
        <v>0</v>
      </c>
      <c r="C68" s="10">
        <f>'1 квартал'!C68+'2 квартал'!C68</f>
        <v>0</v>
      </c>
      <c r="D68" s="10">
        <f>'1 квартал'!D68+'2 квартал'!D68</f>
        <v>0</v>
      </c>
      <c r="E68" s="10">
        <f>'1 квартал'!E68+'2 квартал'!E68</f>
        <v>0</v>
      </c>
      <c r="F68" s="17">
        <f>'1 квартал'!F68+'2 квартал'!F68</f>
        <v>0</v>
      </c>
    </row>
    <row r="69" spans="1:6" s="2" customFormat="1" ht="19.5" customHeight="1">
      <c r="A69" s="109" t="s">
        <v>12</v>
      </c>
      <c r="B69" s="8">
        <f t="shared" si="1"/>
        <v>0</v>
      </c>
      <c r="C69" s="10">
        <f>'1 квартал'!C69+'2 квартал'!C69</f>
        <v>0</v>
      </c>
      <c r="D69" s="10">
        <f>'1 квартал'!D69+'2 квартал'!D69</f>
        <v>0</v>
      </c>
      <c r="E69" s="10">
        <f>'1 квартал'!E69+'2 квартал'!E69</f>
        <v>0</v>
      </c>
      <c r="F69" s="17">
        <f>'1 квартал'!F69+'2 квартал'!F69</f>
        <v>0</v>
      </c>
    </row>
    <row r="70" spans="1:6" s="38" customFormat="1" ht="23.25" customHeight="1">
      <c r="A70" s="110" t="s">
        <v>25</v>
      </c>
      <c r="B70" s="8">
        <f t="shared" si="1"/>
        <v>424.979</v>
      </c>
      <c r="C70" s="15">
        <f>C71+C72</f>
        <v>0</v>
      </c>
      <c r="D70" s="15">
        <f>D71+D72</f>
        <v>0</v>
      </c>
      <c r="E70" s="15">
        <f>E71+E72</f>
        <v>0</v>
      </c>
      <c r="F70" s="16">
        <f>F71+F72</f>
        <v>424.979</v>
      </c>
    </row>
    <row r="71" spans="1:6" s="38" customFormat="1" ht="23.25" customHeight="1">
      <c r="A71" s="109" t="s">
        <v>13</v>
      </c>
      <c r="B71" s="8">
        <f t="shared" si="1"/>
        <v>89.70400000000001</v>
      </c>
      <c r="C71" s="8">
        <f>'1 квартал'!C71+'2 квартал'!C71</f>
        <v>0</v>
      </c>
      <c r="D71" s="8">
        <f>'1 квартал'!D71+'2 квартал'!D71</f>
        <v>0</v>
      </c>
      <c r="E71" s="8">
        <f>'1 квартал'!E71+'2 квартал'!E71</f>
        <v>0</v>
      </c>
      <c r="F71" s="9">
        <f>'1 квартал'!F71+'2 квартал'!F71</f>
        <v>89.70400000000001</v>
      </c>
    </row>
    <row r="72" spans="1:6" s="38" customFormat="1" ht="23.25" customHeight="1">
      <c r="A72" s="109" t="s">
        <v>10</v>
      </c>
      <c r="B72" s="8">
        <f t="shared" si="1"/>
        <v>335.275</v>
      </c>
      <c r="C72" s="8">
        <f>C73+C74</f>
        <v>0</v>
      </c>
      <c r="D72" s="15">
        <f>D73+D74</f>
        <v>0</v>
      </c>
      <c r="E72" s="15">
        <f>E73+E74</f>
        <v>0</v>
      </c>
      <c r="F72" s="16">
        <f>F73+F74</f>
        <v>335.275</v>
      </c>
    </row>
    <row r="73" spans="1:6" s="38" customFormat="1" ht="23.25" customHeight="1">
      <c r="A73" s="109" t="s">
        <v>11</v>
      </c>
      <c r="B73" s="8">
        <f t="shared" si="1"/>
        <v>335.275</v>
      </c>
      <c r="C73" s="10">
        <f>'1 квартал'!C73+'2 квартал'!C73</f>
        <v>0</v>
      </c>
      <c r="D73" s="10">
        <f>'1 квартал'!D73+'2 квартал'!D73</f>
        <v>0</v>
      </c>
      <c r="E73" s="10">
        <f>'1 квартал'!E73+'2 квартал'!E73</f>
        <v>0</v>
      </c>
      <c r="F73" s="17">
        <f>'1 квартал'!F73+'2 квартал'!F73</f>
        <v>335.275</v>
      </c>
    </row>
    <row r="74" spans="1:6" s="38" customFormat="1" ht="23.25" customHeight="1">
      <c r="A74" s="109" t="s">
        <v>12</v>
      </c>
      <c r="B74" s="8">
        <f t="shared" si="1"/>
        <v>0</v>
      </c>
      <c r="C74" s="10">
        <f>'1 квартал'!C74+'2 квартал'!C74</f>
        <v>0</v>
      </c>
      <c r="D74" s="10">
        <f>'1 квартал'!D74+'2 квартал'!D74</f>
        <v>0</v>
      </c>
      <c r="E74" s="10">
        <f>'1 квартал'!E74+'2 квартал'!E74</f>
        <v>0</v>
      </c>
      <c r="F74" s="17">
        <f>'1 квартал'!F74+'2 квартал'!F74</f>
        <v>0</v>
      </c>
    </row>
    <row r="75" spans="1:6" s="38" customFormat="1" ht="33" customHeight="1">
      <c r="A75" s="110" t="s">
        <v>64</v>
      </c>
      <c r="B75" s="8">
        <f t="shared" si="1"/>
        <v>1493.874</v>
      </c>
      <c r="C75" s="15">
        <f>C76+C77</f>
        <v>0</v>
      </c>
      <c r="D75" s="15">
        <f>D76+D77</f>
        <v>0</v>
      </c>
      <c r="E75" s="15">
        <f>E76+E77</f>
        <v>90.89</v>
      </c>
      <c r="F75" s="16">
        <f>F76+F77</f>
        <v>1402.984</v>
      </c>
    </row>
    <row r="76" spans="1:6" s="38" customFormat="1" ht="21" customHeight="1">
      <c r="A76" s="109" t="s">
        <v>13</v>
      </c>
      <c r="B76" s="8">
        <f t="shared" si="1"/>
        <v>413.43</v>
      </c>
      <c r="C76" s="8">
        <f>'1 квартал'!C76+'2 квартал'!C76</f>
        <v>0</v>
      </c>
      <c r="D76" s="8">
        <f>'1 квартал'!D76+'2 квартал'!D76</f>
        <v>0</v>
      </c>
      <c r="E76" s="8">
        <f>'1 квартал'!E76+'2 квартал'!E76</f>
        <v>89.368</v>
      </c>
      <c r="F76" s="9">
        <f>'1 квартал'!F76+'2 квартал'!F76</f>
        <v>324.062</v>
      </c>
    </row>
    <row r="77" spans="1:6" s="3" customFormat="1" ht="21" customHeight="1">
      <c r="A77" s="109" t="s">
        <v>10</v>
      </c>
      <c r="B77" s="8">
        <f t="shared" si="1"/>
        <v>1080.444</v>
      </c>
      <c r="C77" s="8">
        <f>C78+C79</f>
        <v>0</v>
      </c>
      <c r="D77" s="15">
        <f>D78+D79</f>
        <v>0</v>
      </c>
      <c r="E77" s="15">
        <f>E78+E79</f>
        <v>1.522</v>
      </c>
      <c r="F77" s="16">
        <f>F78+F79</f>
        <v>1078.922</v>
      </c>
    </row>
    <row r="78" spans="1:6" s="3" customFormat="1" ht="18.75">
      <c r="A78" s="109" t="s">
        <v>11</v>
      </c>
      <c r="B78" s="8">
        <f t="shared" si="1"/>
        <v>164.454</v>
      </c>
      <c r="C78" s="10">
        <f>'1 квартал'!C78+'2 квартал'!C78</f>
        <v>0</v>
      </c>
      <c r="D78" s="10">
        <f>'1 квартал'!D78+'2 квартал'!D78</f>
        <v>0</v>
      </c>
      <c r="E78" s="10">
        <f>'1 квартал'!E78+'2 квартал'!E78</f>
        <v>0</v>
      </c>
      <c r="F78" s="17">
        <f>'1 квартал'!F78+'2 квартал'!F78</f>
        <v>164.454</v>
      </c>
    </row>
    <row r="79" spans="1:6" ht="18.75">
      <c r="A79" s="109" t="s">
        <v>12</v>
      </c>
      <c r="B79" s="8">
        <f t="shared" si="1"/>
        <v>915.99</v>
      </c>
      <c r="C79" s="10">
        <f>'1 квартал'!C79+'2 квартал'!C79</f>
        <v>0</v>
      </c>
      <c r="D79" s="10">
        <f>'1 квартал'!D79+'2 квартал'!D79</f>
        <v>0</v>
      </c>
      <c r="E79" s="10">
        <f>'1 квартал'!E79+'2 квартал'!E79</f>
        <v>1.522</v>
      </c>
      <c r="F79" s="17">
        <f>'1 квартал'!F79+'2 квартал'!F79</f>
        <v>914.468</v>
      </c>
    </row>
    <row r="80" spans="1:6" ht="18">
      <c r="A80" s="110" t="s">
        <v>8</v>
      </c>
      <c r="B80" s="8">
        <f t="shared" si="1"/>
        <v>6540.139</v>
      </c>
      <c r="C80" s="15">
        <f>C81+C82</f>
        <v>0</v>
      </c>
      <c r="D80" s="15">
        <f>D81+D82</f>
        <v>0</v>
      </c>
      <c r="E80" s="15">
        <f>E81+E82</f>
        <v>3166.902</v>
      </c>
      <c r="F80" s="16">
        <f>F81+F82</f>
        <v>3373.237</v>
      </c>
    </row>
    <row r="81" spans="1:6" ht="18.75">
      <c r="A81" s="109" t="s">
        <v>13</v>
      </c>
      <c r="B81" s="8">
        <f t="shared" si="1"/>
        <v>3324.11</v>
      </c>
      <c r="C81" s="8">
        <f>'1 квартал'!C81+'2 квартал'!C81</f>
        <v>0</v>
      </c>
      <c r="D81" s="8">
        <f>'1 квартал'!D81+'2 квартал'!D81</f>
        <v>0</v>
      </c>
      <c r="E81" s="8">
        <f>'1 квартал'!E81+'2 квартал'!E81</f>
        <v>2437.143</v>
      </c>
      <c r="F81" s="9">
        <f>'1 квартал'!F81+'2 квартал'!F81</f>
        <v>886.9670000000001</v>
      </c>
    </row>
    <row r="82" spans="1:6" ht="18.75">
      <c r="A82" s="109" t="s">
        <v>10</v>
      </c>
      <c r="B82" s="8">
        <f t="shared" si="1"/>
        <v>3216.029</v>
      </c>
      <c r="C82" s="8">
        <f>C83+C84</f>
        <v>0</v>
      </c>
      <c r="D82" s="15">
        <f>D83+D84</f>
        <v>0</v>
      </c>
      <c r="E82" s="15">
        <f>E83+E84</f>
        <v>729.759</v>
      </c>
      <c r="F82" s="16">
        <f>F83+F84</f>
        <v>2486.27</v>
      </c>
    </row>
    <row r="83" spans="1:6" ht="18.75">
      <c r="A83" s="109" t="s">
        <v>11</v>
      </c>
      <c r="B83" s="8">
        <f t="shared" si="1"/>
        <v>2599.176</v>
      </c>
      <c r="C83" s="10">
        <f>'1 квартал'!C83+'2 квартал'!C83</f>
        <v>0</v>
      </c>
      <c r="D83" s="10">
        <f>'1 квартал'!D83+'2 квартал'!D83</f>
        <v>0</v>
      </c>
      <c r="E83" s="10">
        <f>'1 квартал'!E83+'2 квартал'!E83</f>
        <v>719.755</v>
      </c>
      <c r="F83" s="17">
        <f>'1 квартал'!F83+'2 квартал'!F83</f>
        <v>1879.421</v>
      </c>
    </row>
    <row r="84" spans="1:6" ht="18.75">
      <c r="A84" s="109" t="s">
        <v>12</v>
      </c>
      <c r="B84" s="8">
        <f t="shared" si="1"/>
        <v>616.853</v>
      </c>
      <c r="C84" s="10">
        <f>'1 квартал'!C84+'2 квартал'!C84</f>
        <v>0</v>
      </c>
      <c r="D84" s="10">
        <f>'1 квартал'!D84+'2 квартал'!D84</f>
        <v>0</v>
      </c>
      <c r="E84" s="10">
        <f>'1 квартал'!E84+'2 квартал'!E84</f>
        <v>10.004000000000001</v>
      </c>
      <c r="F84" s="17">
        <f>'1 квартал'!F84+'2 квартал'!F84</f>
        <v>606.8489999999999</v>
      </c>
    </row>
    <row r="85" spans="1:6" ht="18">
      <c r="A85" s="110" t="s">
        <v>5</v>
      </c>
      <c r="B85" s="8">
        <f t="shared" si="1"/>
        <v>17714.653</v>
      </c>
      <c r="C85" s="15">
        <f>C86+C87</f>
        <v>2508.392</v>
      </c>
      <c r="D85" s="15">
        <f>D86+D87</f>
        <v>0</v>
      </c>
      <c r="E85" s="15">
        <f>E86+E87</f>
        <v>9534.888</v>
      </c>
      <c r="F85" s="16">
        <f>F86+F87</f>
        <v>5671.373</v>
      </c>
    </row>
    <row r="86" spans="1:6" ht="18.75">
      <c r="A86" s="109" t="s">
        <v>13</v>
      </c>
      <c r="B86" s="8">
        <f t="shared" si="1"/>
        <v>11321.345000000001</v>
      </c>
      <c r="C86" s="8">
        <f>'1 квартал'!C86+'2 квартал'!C86</f>
        <v>2508.392</v>
      </c>
      <c r="D86" s="8">
        <f>'1 квартал'!D86+'2 квартал'!D86</f>
        <v>0</v>
      </c>
      <c r="E86" s="8">
        <f>'1 квартал'!E86+'2 квартал'!E86</f>
        <v>6298.860000000001</v>
      </c>
      <c r="F86" s="9">
        <f>'1 квартал'!F86+'2 квартал'!F86</f>
        <v>2514.093</v>
      </c>
    </row>
    <row r="87" spans="1:6" ht="18.75">
      <c r="A87" s="109" t="s">
        <v>10</v>
      </c>
      <c r="B87" s="8">
        <f t="shared" si="1"/>
        <v>6393.308</v>
      </c>
      <c r="C87" s="8">
        <f>C88+C89</f>
        <v>0</v>
      </c>
      <c r="D87" s="15">
        <f>D88+D89</f>
        <v>0</v>
      </c>
      <c r="E87" s="15">
        <f>E88+E89</f>
        <v>3236.0280000000002</v>
      </c>
      <c r="F87" s="16">
        <f>F88+F89</f>
        <v>3157.2799999999997</v>
      </c>
    </row>
    <row r="88" spans="1:6" ht="18.75">
      <c r="A88" s="109" t="s">
        <v>11</v>
      </c>
      <c r="B88" s="8">
        <f t="shared" si="1"/>
        <v>6348.7880000000005</v>
      </c>
      <c r="C88" s="10">
        <f>'1 квартал'!C88+'2 квартал'!C88</f>
        <v>0</v>
      </c>
      <c r="D88" s="10">
        <f>'1 квартал'!D88+'2 квартал'!D88</f>
        <v>0</v>
      </c>
      <c r="E88" s="10">
        <f>'1 квартал'!E88+'2 квартал'!E88</f>
        <v>3191.5080000000003</v>
      </c>
      <c r="F88" s="17">
        <f>'1 квартал'!F88+'2 квартал'!F88</f>
        <v>3157.2799999999997</v>
      </c>
    </row>
    <row r="89" spans="1:6" ht="18.75">
      <c r="A89" s="109" t="s">
        <v>12</v>
      </c>
      <c r="B89" s="8">
        <f t="shared" si="1"/>
        <v>44.519999999999996</v>
      </c>
      <c r="C89" s="10">
        <f>'1 квартал'!C89+'2 квартал'!C89</f>
        <v>0</v>
      </c>
      <c r="D89" s="10">
        <f>'1 квартал'!D89+'2 квартал'!D89</f>
        <v>0</v>
      </c>
      <c r="E89" s="10">
        <f>'1 квартал'!E89+'2 квартал'!E89</f>
        <v>44.519999999999996</v>
      </c>
      <c r="F89" s="17">
        <f>'1 квартал'!F89+'2 квартал'!F89</f>
        <v>0</v>
      </c>
    </row>
    <row r="90" spans="1:6" ht="36">
      <c r="A90" s="110" t="s">
        <v>65</v>
      </c>
      <c r="B90" s="8">
        <f t="shared" si="1"/>
        <v>36702.64</v>
      </c>
      <c r="C90" s="15">
        <f>C91+C92</f>
        <v>0</v>
      </c>
      <c r="D90" s="15">
        <f>D91+D92</f>
        <v>0</v>
      </c>
      <c r="E90" s="15">
        <f>E91+E92</f>
        <v>8539.528</v>
      </c>
      <c r="F90" s="16">
        <f>F91+F92</f>
        <v>28163.112</v>
      </c>
    </row>
    <row r="91" spans="1:6" ht="18.75">
      <c r="A91" s="109" t="s">
        <v>13</v>
      </c>
      <c r="B91" s="8">
        <f t="shared" si="1"/>
        <v>18082.525999999998</v>
      </c>
      <c r="C91" s="8">
        <f>'1 квартал'!C91+'2 квартал'!C91</f>
        <v>0</v>
      </c>
      <c r="D91" s="8">
        <f>'1 квартал'!D91+'2 квартал'!D91</f>
        <v>0</v>
      </c>
      <c r="E91" s="8">
        <f>'1 квартал'!E91+'2 квартал'!E91</f>
        <v>8275.903</v>
      </c>
      <c r="F91" s="9">
        <f>'1 квартал'!F91+'2 квартал'!F91</f>
        <v>9806.623</v>
      </c>
    </row>
    <row r="92" spans="1:6" ht="18.75">
      <c r="A92" s="109" t="s">
        <v>10</v>
      </c>
      <c r="B92" s="8">
        <f t="shared" si="1"/>
        <v>18620.114</v>
      </c>
      <c r="C92" s="8">
        <f>C93+C94</f>
        <v>0</v>
      </c>
      <c r="D92" s="15">
        <f>D93+D94</f>
        <v>0</v>
      </c>
      <c r="E92" s="15">
        <f>E93+E94</f>
        <v>263.625</v>
      </c>
      <c r="F92" s="16">
        <f>F93+F94</f>
        <v>18356.489</v>
      </c>
    </row>
    <row r="93" spans="1:6" ht="18.75">
      <c r="A93" s="109" t="s">
        <v>11</v>
      </c>
      <c r="B93" s="8">
        <f t="shared" si="1"/>
        <v>4602.817</v>
      </c>
      <c r="C93" s="10">
        <f>'1 квартал'!C93+'2 квартал'!C93</f>
        <v>0</v>
      </c>
      <c r="D93" s="10">
        <f>'1 квартал'!D93+'2 квартал'!D93</f>
        <v>0</v>
      </c>
      <c r="E93" s="10">
        <f>'1 квартал'!E93+'2 квартал'!E93</f>
        <v>114.148</v>
      </c>
      <c r="F93" s="17">
        <f>'1 квартал'!F93+'2 квартал'!F93</f>
        <v>4488.669</v>
      </c>
    </row>
    <row r="94" spans="1:6" ht="19.5" thickBot="1">
      <c r="A94" s="116" t="s">
        <v>12</v>
      </c>
      <c r="B94" s="14">
        <f t="shared" si="1"/>
        <v>14017.297</v>
      </c>
      <c r="C94" s="101">
        <f>'1 квартал'!C94+'2 квартал'!C94</f>
        <v>0</v>
      </c>
      <c r="D94" s="101">
        <f>'1 квартал'!D94+'2 квартал'!D94</f>
        <v>0</v>
      </c>
      <c r="E94" s="101">
        <f>'1 квартал'!E94+'2 квартал'!E94</f>
        <v>149.477</v>
      </c>
      <c r="F94" s="102">
        <f>'1 квартал'!F94+'2 квартал'!F94</f>
        <v>13867.82</v>
      </c>
    </row>
    <row r="95" spans="1:6" ht="18">
      <c r="A95" s="54" t="s">
        <v>21</v>
      </c>
      <c r="B95" s="55">
        <f t="shared" si="1"/>
        <v>1541.107</v>
      </c>
      <c r="C95" s="32">
        <f>'1 квартал'!C95+'2 квартал'!C95</f>
        <v>0</v>
      </c>
      <c r="D95" s="32">
        <f>'1 квартал'!D95+'2 квартал'!D95</f>
        <v>0</v>
      </c>
      <c r="E95" s="32">
        <f>'1 квартал'!E95+'2 квартал'!E95</f>
        <v>1541.107</v>
      </c>
      <c r="F95" s="33">
        <f>'1 квартал'!F95+'2 квартал'!F95</f>
        <v>0</v>
      </c>
    </row>
    <row r="96" spans="1:6" ht="18">
      <c r="A96" s="31" t="s">
        <v>22</v>
      </c>
      <c r="B96" s="5">
        <f t="shared" si="1"/>
        <v>322.072</v>
      </c>
      <c r="C96" s="8">
        <f>'1 квартал'!C96+'2 квартал'!C96</f>
        <v>0</v>
      </c>
      <c r="D96" s="8">
        <f>'1 квартал'!D96+'2 квартал'!D96</f>
        <v>0</v>
      </c>
      <c r="E96" s="8">
        <f>'1 квартал'!E96+'2 квартал'!E96</f>
        <v>322.072</v>
      </c>
      <c r="F96" s="9">
        <f>'1 квартал'!F96+'2 квартал'!F96</f>
        <v>0</v>
      </c>
    </row>
    <row r="97" spans="1:6" ht="18">
      <c r="A97" s="31" t="s">
        <v>27</v>
      </c>
      <c r="B97" s="5">
        <f t="shared" si="1"/>
        <v>3783.6020000000003</v>
      </c>
      <c r="C97" s="8">
        <f>'1 квартал'!C97+'2 квартал'!C97</f>
        <v>0</v>
      </c>
      <c r="D97" s="8">
        <f>'1 квартал'!D97+'2 квартал'!D97</f>
        <v>0</v>
      </c>
      <c r="E97" s="8">
        <f>'1 квартал'!E97+'2 квартал'!E97</f>
        <v>3336.8</v>
      </c>
      <c r="F97" s="9">
        <f>'1 квартал'!F97+'2 квартал'!F97</f>
        <v>446.802</v>
      </c>
    </row>
    <row r="98" spans="1:6" ht="18">
      <c r="A98" s="31" t="s">
        <v>23</v>
      </c>
      <c r="B98" s="5">
        <f t="shared" si="1"/>
        <v>4590.277</v>
      </c>
      <c r="C98" s="8">
        <f>'1 квартал'!C98+'2 квартал'!C98</f>
        <v>3067.1400000000003</v>
      </c>
      <c r="D98" s="8">
        <f>'1 квартал'!D98+'2 квартал'!D98</f>
        <v>0</v>
      </c>
      <c r="E98" s="8">
        <f>'1 квартал'!E98+'2 квартал'!E98</f>
        <v>719.208</v>
      </c>
      <c r="F98" s="9">
        <f>'1 квартал'!F98+'2 квартал'!F98</f>
        <v>803.9290000000001</v>
      </c>
    </row>
    <row r="99" spans="1:6" ht="36.75" thickBot="1">
      <c r="A99" s="120" t="s">
        <v>24</v>
      </c>
      <c r="B99" s="121">
        <f t="shared" si="1"/>
        <v>3349.867</v>
      </c>
      <c r="C99" s="8">
        <f>'1 квартал'!C99+'2 квартал'!C99</f>
        <v>0</v>
      </c>
      <c r="D99" s="8">
        <f>'1 квартал'!D99+'2 квартал'!D99</f>
        <v>0</v>
      </c>
      <c r="E99" s="8">
        <f>'1 квартал'!E99+'2 квартал'!E99</f>
        <v>3349.867</v>
      </c>
      <c r="F99" s="9">
        <f>'1 квартал'!F99+'2 квартал'!F99</f>
        <v>0</v>
      </c>
    </row>
    <row r="100" spans="1:6" ht="18.75" thickBot="1">
      <c r="A100" s="30" t="s">
        <v>66</v>
      </c>
      <c r="B100" s="50">
        <f t="shared" si="1"/>
        <v>736683.1889999999</v>
      </c>
      <c r="C100" s="124">
        <f>C5+C10+C15+C20+C25+C30+C35+C40+C45+C50+C55+C60+C65+C70+C75+C80+C85+C90+C95+C96+C97+C98+C99</f>
        <v>307543.90699999995</v>
      </c>
      <c r="D100" s="124">
        <f>D5+D10+D15+D20+D25+D30+D35+D40+D45+D50+D55+D60+D65+D70+D75+D80+D85+D90+D95+D96+D97+D98+D99</f>
        <v>10292.532</v>
      </c>
      <c r="E100" s="124">
        <f>E5+E10+E15+E20+E25+E30+E35+E40+E45+E50+E55+E60+E65+E70+E75+E80+E85+E90+E95+E96+E97+E98+E99</f>
        <v>180241.391</v>
      </c>
      <c r="F100" s="51">
        <f>F5+F10+F15+F20+F25+F30+F35+F40+F45+F50+F55+F60+F65+F70+F75+F80+F85+F90+F95+F96+F97+F98+F99</f>
        <v>238605.35899999997</v>
      </c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esorrfni</dc:creator>
  <cp:keywords/>
  <dc:description/>
  <cp:lastModifiedBy>Токарева</cp:lastModifiedBy>
  <cp:lastPrinted>2011-09-13T10:21:19Z</cp:lastPrinted>
  <dcterms:created xsi:type="dcterms:W3CDTF">2007-02-15T08:39:45Z</dcterms:created>
  <dcterms:modified xsi:type="dcterms:W3CDTF">2013-02-28T05:31:17Z</dcterms:modified>
  <cp:category/>
  <cp:version/>
  <cp:contentType/>
  <cp:contentStatus/>
</cp:coreProperties>
</file>